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aximpopov/Downloads/"/>
    </mc:Choice>
  </mc:AlternateContent>
  <xr:revisionPtr revIDLastSave="0" documentId="13_ncr:1_{6BCC0CC6-7DB2-8747-8573-259C23334246}" xr6:coauthVersionLast="47" xr6:coauthVersionMax="47" xr10:uidLastSave="{00000000-0000-0000-0000-000000000000}"/>
  <bookViews>
    <workbookView xWindow="0" yWindow="600" windowWidth="28800" windowHeight="17400" activeTab="4" xr2:uid="{00000000-000D-0000-FFFF-FFFF00000000}"/>
  </bookViews>
  <sheets>
    <sheet name="Unit Economics" sheetId="1" r:id="rId1"/>
    <sheet name="Profit &amp; Loss" sheetId="2" r:id="rId2"/>
    <sheet name="Balance Sheet" sheetId="3" r:id="rId3"/>
    <sheet name="Cash Flow" sheetId="4" r:id="rId4"/>
    <sheet name="Business Valuatio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5" l="1"/>
  <c r="B32" i="5"/>
  <c r="E32" i="5" s="1"/>
  <c r="B7" i="5"/>
  <c r="M45" i="4"/>
  <c r="L45" i="4"/>
  <c r="K45" i="4"/>
  <c r="J45" i="4"/>
  <c r="I45" i="4"/>
  <c r="H45" i="4"/>
  <c r="G45" i="4"/>
  <c r="F45" i="4"/>
  <c r="E45" i="4"/>
  <c r="D45" i="4"/>
  <c r="C45" i="4"/>
  <c r="M44" i="4"/>
  <c r="L44" i="4"/>
  <c r="K44" i="4"/>
  <c r="J44" i="4"/>
  <c r="I44" i="4"/>
  <c r="H44" i="4"/>
  <c r="G44" i="4"/>
  <c r="F44" i="4"/>
  <c r="E44" i="4"/>
  <c r="D44" i="4"/>
  <c r="C44" i="4"/>
  <c r="M43" i="4"/>
  <c r="L43" i="4"/>
  <c r="K43" i="4"/>
  <c r="J43" i="4"/>
  <c r="I43" i="4"/>
  <c r="H43" i="4"/>
  <c r="G43" i="4"/>
  <c r="F43" i="4"/>
  <c r="E43" i="4"/>
  <c r="D43" i="4"/>
  <c r="C43" i="4"/>
  <c r="M42" i="4"/>
  <c r="L42" i="4"/>
  <c r="K42" i="4"/>
  <c r="J42" i="4"/>
  <c r="I42" i="4"/>
  <c r="H42" i="4"/>
  <c r="G42" i="4"/>
  <c r="F42" i="4"/>
  <c r="E42" i="4"/>
  <c r="D42" i="4"/>
  <c r="C42" i="4"/>
  <c r="M41" i="4"/>
  <c r="L41" i="4"/>
  <c r="K41" i="4"/>
  <c r="J41" i="4"/>
  <c r="I41" i="4"/>
  <c r="H41" i="4"/>
  <c r="G41" i="4"/>
  <c r="F41" i="4"/>
  <c r="E41" i="4"/>
  <c r="D41" i="4"/>
  <c r="C41" i="4"/>
  <c r="M40" i="4"/>
  <c r="L40" i="4"/>
  <c r="K40" i="4"/>
  <c r="J40" i="4"/>
  <c r="I40" i="4"/>
  <c r="H40" i="4"/>
  <c r="G40" i="4"/>
  <c r="F40" i="4"/>
  <c r="E40" i="4"/>
  <c r="D40" i="4"/>
  <c r="C40" i="4"/>
  <c r="M38" i="4"/>
  <c r="K38" i="4"/>
  <c r="J38" i="4"/>
  <c r="H38" i="4"/>
  <c r="E38" i="4"/>
  <c r="C38" i="4"/>
  <c r="N37" i="4"/>
  <c r="N38" i="4" s="1"/>
  <c r="M37" i="4"/>
  <c r="L37" i="4"/>
  <c r="L38" i="4" s="1"/>
  <c r="K37" i="4"/>
  <c r="J37" i="4"/>
  <c r="I37" i="4"/>
  <c r="I38" i="4" s="1"/>
  <c r="H37" i="4"/>
  <c r="G37" i="4"/>
  <c r="G38" i="4" s="1"/>
  <c r="F37" i="4"/>
  <c r="F38" i="4" s="1"/>
  <c r="E37" i="4"/>
  <c r="D37" i="4"/>
  <c r="D38" i="4" s="1"/>
  <c r="C37" i="4"/>
  <c r="N34" i="4"/>
  <c r="M34" i="4"/>
  <c r="L34" i="4"/>
  <c r="K34" i="4"/>
  <c r="J34" i="4"/>
  <c r="I34" i="4"/>
  <c r="H34" i="4"/>
  <c r="G34" i="4"/>
  <c r="F34" i="4"/>
  <c r="E34" i="4"/>
  <c r="D34" i="4"/>
  <c r="C34" i="4"/>
  <c r="K29" i="4"/>
  <c r="K33" i="4" s="1"/>
  <c r="H29" i="4"/>
  <c r="H33" i="4" s="1"/>
  <c r="G29" i="4"/>
  <c r="G33" i="4" s="1"/>
  <c r="F29" i="4"/>
  <c r="F33" i="4" s="1"/>
  <c r="D29" i="4"/>
  <c r="D33" i="4" s="1"/>
  <c r="C29" i="4"/>
  <c r="C33" i="4" s="1"/>
  <c r="N15" i="4"/>
  <c r="M15" i="4"/>
  <c r="L15" i="4"/>
  <c r="K15" i="4"/>
  <c r="J15" i="4"/>
  <c r="I15" i="4"/>
  <c r="H15" i="4"/>
  <c r="G15" i="4"/>
  <c r="F15" i="4"/>
  <c r="E15" i="4"/>
  <c r="D15" i="4"/>
  <c r="C15" i="4"/>
  <c r="N13" i="4"/>
  <c r="M13" i="4"/>
  <c r="L13" i="4"/>
  <c r="K13" i="4"/>
  <c r="J13" i="4"/>
  <c r="I13" i="4"/>
  <c r="H13" i="4"/>
  <c r="G13" i="4"/>
  <c r="F13" i="4"/>
  <c r="E13" i="4"/>
  <c r="D13" i="4"/>
  <c r="C13" i="4"/>
  <c r="K9" i="4"/>
  <c r="H9" i="4"/>
  <c r="G9" i="4"/>
  <c r="C9" i="4"/>
  <c r="N17" i="3"/>
  <c r="M17" i="3"/>
  <c r="L17" i="3"/>
  <c r="K17" i="3"/>
  <c r="J17" i="3"/>
  <c r="I17" i="3"/>
  <c r="H17" i="3"/>
  <c r="G17" i="3"/>
  <c r="F17" i="3"/>
  <c r="E17" i="3"/>
  <c r="D17" i="3"/>
  <c r="C17" i="3"/>
  <c r="N55" i="2"/>
  <c r="M55" i="2"/>
  <c r="L55" i="2"/>
  <c r="K55" i="2"/>
  <c r="J55" i="2"/>
  <c r="I55" i="2"/>
  <c r="H55" i="2"/>
  <c r="G55" i="2"/>
  <c r="F55" i="2"/>
  <c r="E55" i="2"/>
  <c r="D55" i="2"/>
  <c r="C55" i="2"/>
  <c r="N52" i="2"/>
  <c r="M52" i="2"/>
  <c r="L52" i="2"/>
  <c r="K52" i="2"/>
  <c r="J52" i="2"/>
  <c r="I52" i="2"/>
  <c r="H52" i="2"/>
  <c r="G52" i="2"/>
  <c r="F52" i="2"/>
  <c r="E52" i="2"/>
  <c r="D52" i="2"/>
  <c r="C52" i="2"/>
  <c r="N51" i="2"/>
  <c r="M51" i="2"/>
  <c r="L51" i="2"/>
  <c r="K51" i="2"/>
  <c r="J51" i="2"/>
  <c r="I51" i="2"/>
  <c r="H51" i="2"/>
  <c r="G51" i="2"/>
  <c r="F51" i="2"/>
  <c r="E51" i="2"/>
  <c r="D51" i="2"/>
  <c r="C51" i="2"/>
  <c r="C50" i="2"/>
  <c r="N45" i="2"/>
  <c r="M45" i="2"/>
  <c r="L45" i="2"/>
  <c r="K45" i="2"/>
  <c r="J45" i="2"/>
  <c r="I45" i="2"/>
  <c r="H45" i="2"/>
  <c r="G45" i="2"/>
  <c r="F45" i="2"/>
  <c r="E45" i="2"/>
  <c r="D45" i="2"/>
  <c r="C45" i="2"/>
  <c r="N42" i="2"/>
  <c r="M42" i="2"/>
  <c r="L42" i="2"/>
  <c r="K42" i="2"/>
  <c r="J42" i="2"/>
  <c r="I42" i="2"/>
  <c r="H42" i="2"/>
  <c r="G42" i="2"/>
  <c r="F42" i="2"/>
  <c r="E42" i="2"/>
  <c r="D42" i="2"/>
  <c r="C42" i="2"/>
  <c r="N41" i="2"/>
  <c r="M41" i="2"/>
  <c r="L41" i="2"/>
  <c r="K41" i="2"/>
  <c r="J41" i="2"/>
  <c r="I41" i="2"/>
  <c r="H41" i="2"/>
  <c r="G41" i="2"/>
  <c r="F41" i="2"/>
  <c r="E41" i="2"/>
  <c r="D41" i="2"/>
  <c r="C41" i="2"/>
  <c r="C43" i="2" s="1"/>
  <c r="D40" i="2"/>
  <c r="C40" i="2"/>
  <c r="M34" i="2"/>
  <c r="I34" i="2"/>
  <c r="E34" i="2"/>
  <c r="C33" i="2"/>
  <c r="N31" i="2"/>
  <c r="M31" i="2"/>
  <c r="L31" i="2"/>
  <c r="K31" i="2"/>
  <c r="J31" i="2"/>
  <c r="I31" i="2"/>
  <c r="H31" i="2"/>
  <c r="G31" i="2"/>
  <c r="F31" i="2"/>
  <c r="E31" i="2"/>
  <c r="D31" i="2"/>
  <c r="C31" i="2"/>
  <c r="C30" i="2"/>
  <c r="C32" i="2" s="1"/>
  <c r="N21" i="2"/>
  <c r="M21" i="2"/>
  <c r="L21" i="2"/>
  <c r="K21" i="2"/>
  <c r="K34" i="2" s="1"/>
  <c r="J21" i="2"/>
  <c r="I21" i="2"/>
  <c r="H21" i="2"/>
  <c r="H34" i="2" s="1"/>
  <c r="G21" i="2"/>
  <c r="G34" i="2" s="1"/>
  <c r="F21" i="2"/>
  <c r="F9" i="4" s="1"/>
  <c r="E21" i="2"/>
  <c r="D21" i="2"/>
  <c r="C21" i="2"/>
  <c r="C34" i="2" s="1"/>
  <c r="N19" i="2"/>
  <c r="M19" i="2"/>
  <c r="L19" i="2"/>
  <c r="K19" i="2"/>
  <c r="J19" i="2"/>
  <c r="I19" i="2"/>
  <c r="H19" i="2"/>
  <c r="G19" i="2"/>
  <c r="F19" i="2"/>
  <c r="E19" i="2"/>
  <c r="D19" i="2"/>
  <c r="C19" i="2"/>
  <c r="N18" i="2"/>
  <c r="M18" i="2"/>
  <c r="L18" i="2"/>
  <c r="K18" i="2"/>
  <c r="J18" i="2"/>
  <c r="I18" i="2"/>
  <c r="H18" i="2"/>
  <c r="G18" i="2"/>
  <c r="F18" i="2"/>
  <c r="E18" i="2"/>
  <c r="D18" i="2"/>
  <c r="C18" i="2"/>
  <c r="I17" i="2"/>
  <c r="H17" i="2"/>
  <c r="F17" i="2"/>
  <c r="E17" i="2"/>
  <c r="D17" i="2"/>
  <c r="N14" i="2"/>
  <c r="M14" i="2"/>
  <c r="L14" i="2"/>
  <c r="K14" i="2"/>
  <c r="J14" i="2"/>
  <c r="I14" i="2"/>
  <c r="H14" i="2"/>
  <c r="G14" i="2"/>
  <c r="F14" i="2"/>
  <c r="E14" i="2"/>
  <c r="D14" i="2"/>
  <c r="C14" i="2"/>
  <c r="I13" i="2"/>
  <c r="H13" i="2"/>
  <c r="F13" i="2"/>
  <c r="C13" i="2"/>
  <c r="H9" i="2"/>
  <c r="F9" i="2"/>
  <c r="G65" i="1"/>
  <c r="F65" i="1"/>
  <c r="K64" i="1"/>
  <c r="J64" i="1"/>
  <c r="K63" i="1"/>
  <c r="J63" i="1"/>
  <c r="C63" i="1"/>
  <c r="N62" i="1"/>
  <c r="M62" i="1"/>
  <c r="G62" i="1"/>
  <c r="F62" i="1"/>
  <c r="E62" i="1"/>
  <c r="D62" i="1"/>
  <c r="N61" i="1"/>
  <c r="M61" i="1"/>
  <c r="L61" i="1"/>
  <c r="L62" i="1" s="1"/>
  <c r="K61" i="1"/>
  <c r="K62" i="1" s="1"/>
  <c r="J61" i="1"/>
  <c r="J62" i="1" s="1"/>
  <c r="I61" i="1"/>
  <c r="I62" i="1" s="1"/>
  <c r="H61" i="1"/>
  <c r="H62" i="1" s="1"/>
  <c r="G61" i="1"/>
  <c r="F61" i="1"/>
  <c r="E61" i="1"/>
  <c r="D61" i="1"/>
  <c r="C61" i="1"/>
  <c r="C62" i="1" s="1"/>
  <c r="F60" i="1"/>
  <c r="E60" i="1"/>
  <c r="I59" i="1"/>
  <c r="G59" i="1"/>
  <c r="F59" i="1"/>
  <c r="F63" i="1" s="1"/>
  <c r="N58" i="1"/>
  <c r="M58" i="1"/>
  <c r="L58" i="1"/>
  <c r="K58" i="1"/>
  <c r="J58" i="1"/>
  <c r="I58" i="1"/>
  <c r="H58" i="1"/>
  <c r="G58" i="1"/>
  <c r="F58" i="1"/>
  <c r="E58" i="1"/>
  <c r="D58" i="1"/>
  <c r="C58" i="1"/>
  <c r="N57" i="1"/>
  <c r="M57" i="1"/>
  <c r="L57" i="1"/>
  <c r="K57" i="1"/>
  <c r="J57" i="1"/>
  <c r="I57" i="1"/>
  <c r="H57" i="1"/>
  <c r="H59" i="1" s="1"/>
  <c r="G57" i="1"/>
  <c r="F57" i="1"/>
  <c r="E57" i="1"/>
  <c r="D57" i="1"/>
  <c r="C57" i="1"/>
  <c r="N56" i="1"/>
  <c r="M56" i="1"/>
  <c r="L56" i="1"/>
  <c r="K56" i="1"/>
  <c r="J56" i="1"/>
  <c r="I56" i="1"/>
  <c r="H56" i="1"/>
  <c r="G56" i="1"/>
  <c r="F56" i="1"/>
  <c r="E56" i="1"/>
  <c r="D56" i="1"/>
  <c r="C56" i="1"/>
  <c r="N55" i="1"/>
  <c r="M55" i="1"/>
  <c r="M65" i="1" s="1"/>
  <c r="L55" i="1"/>
  <c r="K55" i="1"/>
  <c r="K65" i="1" s="1"/>
  <c r="J55" i="1"/>
  <c r="J65" i="1" s="1"/>
  <c r="I55" i="1"/>
  <c r="H55" i="1"/>
  <c r="H64" i="1" s="1"/>
  <c r="G55" i="1"/>
  <c r="G64" i="1" s="1"/>
  <c r="F55" i="1"/>
  <c r="E55" i="1"/>
  <c r="E65" i="1" s="1"/>
  <c r="D55" i="1"/>
  <c r="C55" i="1"/>
  <c r="C65" i="1" s="1"/>
  <c r="N54" i="1"/>
  <c r="N59" i="1" s="1"/>
  <c r="N63" i="1" s="1"/>
  <c r="M54" i="1"/>
  <c r="L54" i="1"/>
  <c r="L59" i="1" s="1"/>
  <c r="K54" i="1"/>
  <c r="K59" i="1" s="1"/>
  <c r="J54" i="1"/>
  <c r="J59" i="1" s="1"/>
  <c r="I54" i="1"/>
  <c r="H54" i="1"/>
  <c r="G54" i="1"/>
  <c r="F54" i="1"/>
  <c r="E54" i="1"/>
  <c r="E59" i="1" s="1"/>
  <c r="D54" i="1"/>
  <c r="D59" i="1" s="1"/>
  <c r="C54" i="1"/>
  <c r="C59" i="1" s="1"/>
  <c r="C49" i="1"/>
  <c r="K47" i="1"/>
  <c r="K9" i="2" s="1"/>
  <c r="J47" i="1"/>
  <c r="J9" i="2" s="1"/>
  <c r="I47" i="1"/>
  <c r="I9" i="2" s="1"/>
  <c r="C47" i="1"/>
  <c r="C9" i="2" s="1"/>
  <c r="N40" i="1"/>
  <c r="N17" i="2" s="1"/>
  <c r="M40" i="1"/>
  <c r="M13" i="2" s="1"/>
  <c r="L40" i="1"/>
  <c r="K40" i="1"/>
  <c r="K13" i="2" s="1"/>
  <c r="J40" i="1"/>
  <c r="J17" i="2" s="1"/>
  <c r="I40" i="1"/>
  <c r="H40" i="1"/>
  <c r="H47" i="1" s="1"/>
  <c r="G40" i="1"/>
  <c r="F40" i="1"/>
  <c r="F47" i="1" s="1"/>
  <c r="E40" i="1"/>
  <c r="D40" i="1"/>
  <c r="D47" i="1" s="1"/>
  <c r="D9" i="2" s="1"/>
  <c r="C40" i="1"/>
  <c r="C17" i="2" s="1"/>
  <c r="N39" i="1"/>
  <c r="M39" i="1"/>
  <c r="L39" i="1"/>
  <c r="K39" i="1"/>
  <c r="J39" i="1"/>
  <c r="I39" i="1"/>
  <c r="H39" i="1"/>
  <c r="G39" i="1"/>
  <c r="F39" i="1"/>
  <c r="E39" i="1"/>
  <c r="D39" i="1"/>
  <c r="C39" i="1"/>
  <c r="C41" i="1" s="1"/>
  <c r="C38" i="1"/>
  <c r="H63" i="1" l="1"/>
  <c r="H60" i="1"/>
  <c r="L64" i="1"/>
  <c r="J29" i="4"/>
  <c r="J33" i="4" s="1"/>
  <c r="J9" i="4"/>
  <c r="D65" i="1"/>
  <c r="B31" i="5" s="1"/>
  <c r="E31" i="5" s="1"/>
  <c r="G63" i="1"/>
  <c r="G60" i="1"/>
  <c r="D64" i="1"/>
  <c r="L29" i="4"/>
  <c r="L33" i="4" s="1"/>
  <c r="L34" i="2"/>
  <c r="L9" i="4"/>
  <c r="D60" i="1"/>
  <c r="L13" i="2"/>
  <c r="L17" i="2"/>
  <c r="D63" i="1"/>
  <c r="J34" i="2"/>
  <c r="E13" i="2"/>
  <c r="E47" i="1"/>
  <c r="E9" i="2" s="1"/>
  <c r="M47" i="1"/>
  <c r="M9" i="2" s="1"/>
  <c r="M17" i="2"/>
  <c r="N13" i="2"/>
  <c r="N47" i="1"/>
  <c r="N9" i="2" s="1"/>
  <c r="L60" i="1"/>
  <c r="G17" i="2"/>
  <c r="G13" i="2"/>
  <c r="G47" i="1"/>
  <c r="G9" i="2" s="1"/>
  <c r="L65" i="1"/>
  <c r="L63" i="1"/>
  <c r="N60" i="1"/>
  <c r="H65" i="1"/>
  <c r="F64" i="1"/>
  <c r="N64" i="1"/>
  <c r="I60" i="1"/>
  <c r="I63" i="1"/>
  <c r="N65" i="1"/>
  <c r="D43" i="2"/>
  <c r="D44" i="2" s="1"/>
  <c r="D46" i="2" s="1"/>
  <c r="D34" i="2"/>
  <c r="D9" i="4"/>
  <c r="C42" i="1"/>
  <c r="L47" i="1"/>
  <c r="L9" i="2" s="1"/>
  <c r="J60" i="1"/>
  <c r="B30" i="5"/>
  <c r="E30" i="5" s="1"/>
  <c r="C64" i="1"/>
  <c r="K60" i="1"/>
  <c r="C60" i="1"/>
  <c r="D13" i="2"/>
  <c r="C54" i="2"/>
  <c r="C56" i="2" s="1"/>
  <c r="E63" i="1"/>
  <c r="M59" i="1"/>
  <c r="I64" i="1"/>
  <c r="N34" i="2"/>
  <c r="N29" i="4"/>
  <c r="N33" i="4" s="1"/>
  <c r="I65" i="1"/>
  <c r="J13" i="2"/>
  <c r="K17" i="2"/>
  <c r="E64" i="1"/>
  <c r="F34" i="2"/>
  <c r="N9" i="4"/>
  <c r="I29" i="4"/>
  <c r="I33" i="4" s="1"/>
  <c r="I9" i="4"/>
  <c r="C36" i="2"/>
  <c r="C10" i="3" s="1"/>
  <c r="D30" i="2"/>
  <c r="D32" i="2" s="1"/>
  <c r="C44" i="2"/>
  <c r="C46" i="2" s="1"/>
  <c r="C35" i="2"/>
  <c r="D33" i="2" s="1"/>
  <c r="D35" i="2" s="1"/>
  <c r="E33" i="2" s="1"/>
  <c r="E35" i="2" s="1"/>
  <c r="F33" i="2" s="1"/>
  <c r="F35" i="2" s="1"/>
  <c r="G33" i="2" s="1"/>
  <c r="G35" i="2" s="1"/>
  <c r="H33" i="2" s="1"/>
  <c r="H35" i="2" s="1"/>
  <c r="I33" i="2" s="1"/>
  <c r="I35" i="2" s="1"/>
  <c r="J33" i="2" s="1"/>
  <c r="E29" i="4"/>
  <c r="E33" i="4" s="1"/>
  <c r="E9" i="4"/>
  <c r="M29" i="4"/>
  <c r="M33" i="4" s="1"/>
  <c r="M9" i="4"/>
  <c r="C53" i="2"/>
  <c r="D50" i="2" s="1"/>
  <c r="D53" i="2" l="1"/>
  <c r="E50" i="2" s="1"/>
  <c r="J35" i="2"/>
  <c r="K33" i="2" s="1"/>
  <c r="K35" i="2" s="1"/>
  <c r="L33" i="2" s="1"/>
  <c r="L35" i="2" s="1"/>
  <c r="M33" i="2" s="1"/>
  <c r="M35" i="2" s="1"/>
  <c r="N33" i="2" s="1"/>
  <c r="N35" i="2" s="1"/>
  <c r="C60" i="2"/>
  <c r="C15" i="3" s="1"/>
  <c r="C61" i="2"/>
  <c r="C23" i="2" s="1"/>
  <c r="C45" i="1"/>
  <c r="D38" i="1"/>
  <c r="C43" i="1"/>
  <c r="C44" i="1" s="1"/>
  <c r="E40" i="2"/>
  <c r="E30" i="2"/>
  <c r="E32" i="2" s="1"/>
  <c r="D36" i="2"/>
  <c r="D10" i="3" s="1"/>
  <c r="M63" i="1"/>
  <c r="M64" i="1"/>
  <c r="M60" i="1"/>
  <c r="D41" i="1" l="1"/>
  <c r="D42" i="1" s="1"/>
  <c r="F30" i="2"/>
  <c r="F32" i="2" s="1"/>
  <c r="E36" i="2"/>
  <c r="E10" i="3" s="1"/>
  <c r="E43" i="2"/>
  <c r="E44" i="2" s="1"/>
  <c r="E46" i="2" s="1"/>
  <c r="D60" i="2"/>
  <c r="D15" i="3" s="1"/>
  <c r="D54" i="2"/>
  <c r="D56" i="2" s="1"/>
  <c r="D61" i="2" s="1"/>
  <c r="D23" i="2" s="1"/>
  <c r="E53" i="2"/>
  <c r="F50" i="2" s="1"/>
  <c r="C46" i="1"/>
  <c r="C12" i="2"/>
  <c r="C71" i="1"/>
  <c r="C70" i="1"/>
  <c r="C72" i="1" s="1"/>
  <c r="C73" i="1" s="1"/>
  <c r="C11" i="2"/>
  <c r="C14" i="3" s="1"/>
  <c r="D45" i="1" l="1"/>
  <c r="E38" i="1"/>
  <c r="D43" i="1"/>
  <c r="D44" i="1" s="1"/>
  <c r="G30" i="2"/>
  <c r="G32" i="2" s="1"/>
  <c r="F36" i="2"/>
  <c r="F10" i="3" s="1"/>
  <c r="C16" i="3"/>
  <c r="C11" i="4"/>
  <c r="E60" i="2"/>
  <c r="E15" i="3" s="1"/>
  <c r="F40" i="2"/>
  <c r="C48" i="1"/>
  <c r="C8" i="2"/>
  <c r="C10" i="2" s="1"/>
  <c r="F53" i="2"/>
  <c r="G50" i="2" s="1"/>
  <c r="E54" i="2"/>
  <c r="E56" i="2" s="1"/>
  <c r="E61" i="2" s="1"/>
  <c r="E23" i="2" s="1"/>
  <c r="G53" i="2" l="1"/>
  <c r="H50" i="2" s="1"/>
  <c r="G54" i="2"/>
  <c r="G56" i="2" s="1"/>
  <c r="D12" i="2"/>
  <c r="D11" i="2"/>
  <c r="D14" i="3" s="1"/>
  <c r="D46" i="1"/>
  <c r="D70" i="1"/>
  <c r="D71" i="1"/>
  <c r="G36" i="2"/>
  <c r="G10" i="3" s="1"/>
  <c r="H30" i="2"/>
  <c r="H32" i="2" s="1"/>
  <c r="F54" i="2"/>
  <c r="F56" i="2" s="1"/>
  <c r="C9" i="3"/>
  <c r="C15" i="2"/>
  <c r="E41" i="1"/>
  <c r="E42" i="1"/>
  <c r="F43" i="2"/>
  <c r="E45" i="1" l="1"/>
  <c r="F38" i="1"/>
  <c r="C20" i="2"/>
  <c r="C16" i="2"/>
  <c r="D48" i="1"/>
  <c r="D49" i="1" s="1"/>
  <c r="D8" i="2"/>
  <c r="D10" i="2" s="1"/>
  <c r="D11" i="4"/>
  <c r="D16" i="3"/>
  <c r="E43" i="1"/>
  <c r="E44" i="1" s="1"/>
  <c r="D72" i="1"/>
  <c r="D73" i="1" s="1"/>
  <c r="C35" i="4"/>
  <c r="C10" i="4"/>
  <c r="G40" i="2"/>
  <c r="F60" i="2"/>
  <c r="F15" i="3" s="1"/>
  <c r="F44" i="2"/>
  <c r="F46" i="2" s="1"/>
  <c r="F61" i="2" s="1"/>
  <c r="F23" i="2" s="1"/>
  <c r="H36" i="2"/>
  <c r="H10" i="3" s="1"/>
  <c r="I30" i="2"/>
  <c r="I32" i="2" s="1"/>
  <c r="H53" i="2"/>
  <c r="I50" i="2" s="1"/>
  <c r="H54" i="2"/>
  <c r="H56" i="2" s="1"/>
  <c r="D9" i="3" l="1"/>
  <c r="D15" i="2"/>
  <c r="G43" i="2"/>
  <c r="G44" i="2" s="1"/>
  <c r="G46" i="2" s="1"/>
  <c r="G61" i="2" s="1"/>
  <c r="G23" i="2" s="1"/>
  <c r="I53" i="2"/>
  <c r="J50" i="2" s="1"/>
  <c r="I54" i="2"/>
  <c r="I56" i="2" s="1"/>
  <c r="I36" i="2"/>
  <c r="I10" i="3" s="1"/>
  <c r="J30" i="2"/>
  <c r="J32" i="2" s="1"/>
  <c r="E11" i="2"/>
  <c r="E71" i="1"/>
  <c r="E12" i="2"/>
  <c r="E46" i="1"/>
  <c r="E70" i="1"/>
  <c r="E72" i="1" s="1"/>
  <c r="E73" i="1" s="1"/>
  <c r="F41" i="1"/>
  <c r="F42" i="1"/>
  <c r="C22" i="2"/>
  <c r="C24" i="2" s="1"/>
  <c r="C28" i="4"/>
  <c r="C30" i="4" s="1"/>
  <c r="E48" i="1" l="1"/>
  <c r="E49" i="1" s="1"/>
  <c r="E8" i="2"/>
  <c r="E10" i="2" s="1"/>
  <c r="K30" i="2"/>
  <c r="K32" i="2" s="1"/>
  <c r="J36" i="2"/>
  <c r="J10" i="3" s="1"/>
  <c r="G60" i="2"/>
  <c r="G15" i="3" s="1"/>
  <c r="H40" i="2"/>
  <c r="D16" i="2"/>
  <c r="D20" i="2"/>
  <c r="F45" i="1"/>
  <c r="G38" i="1"/>
  <c r="F43" i="1"/>
  <c r="F44" i="1" s="1"/>
  <c r="J53" i="2"/>
  <c r="K50" i="2" s="1"/>
  <c r="J54" i="2"/>
  <c r="J56" i="2" s="1"/>
  <c r="C31" i="4"/>
  <c r="C32" i="4"/>
  <c r="C36" i="4" s="1"/>
  <c r="C39" i="4" s="1"/>
  <c r="C25" i="2"/>
  <c r="C26" i="2"/>
  <c r="E14" i="3"/>
  <c r="D35" i="4"/>
  <c r="D10" i="4"/>
  <c r="D22" i="2" l="1"/>
  <c r="D24" i="2" s="1"/>
  <c r="D28" i="4"/>
  <c r="D30" i="4" s="1"/>
  <c r="K53" i="2"/>
  <c r="L50" i="2" s="1"/>
  <c r="F11" i="2"/>
  <c r="F70" i="1"/>
  <c r="F72" i="1" s="1"/>
  <c r="F73" i="1" s="1"/>
  <c r="F46" i="1"/>
  <c r="F12" i="2"/>
  <c r="F71" i="1"/>
  <c r="G41" i="1"/>
  <c r="G42" i="1"/>
  <c r="E15" i="2"/>
  <c r="E9" i="3"/>
  <c r="H43" i="2"/>
  <c r="H44" i="2"/>
  <c r="H46" i="2" s="1"/>
  <c r="H61" i="2" s="1"/>
  <c r="H23" i="2" s="1"/>
  <c r="E11" i="4"/>
  <c r="E16" i="3"/>
  <c r="K36" i="2"/>
  <c r="K10" i="3" s="1"/>
  <c r="L30" i="2"/>
  <c r="L32" i="2" s="1"/>
  <c r="C18" i="3"/>
  <c r="C8" i="4"/>
  <c r="C12" i="4" s="1"/>
  <c r="C14" i="4" s="1"/>
  <c r="H60" i="2" l="1"/>
  <c r="H15" i="3" s="1"/>
  <c r="I40" i="2"/>
  <c r="F8" i="2"/>
  <c r="F10" i="2" s="1"/>
  <c r="F48" i="1"/>
  <c r="F49" i="1" s="1"/>
  <c r="C19" i="3"/>
  <c r="C20" i="3" s="1"/>
  <c r="C16" i="4"/>
  <c r="C17" i="4" s="1"/>
  <c r="E10" i="4"/>
  <c r="E35" i="4"/>
  <c r="E16" i="2"/>
  <c r="E20" i="2"/>
  <c r="G45" i="1"/>
  <c r="H38" i="1"/>
  <c r="D31" i="4"/>
  <c r="D32" i="4"/>
  <c r="D36" i="4" s="1"/>
  <c r="D39" i="4" s="1"/>
  <c r="F14" i="3"/>
  <c r="L36" i="2"/>
  <c r="L10" i="3" s="1"/>
  <c r="M30" i="2"/>
  <c r="M32" i="2" s="1"/>
  <c r="L53" i="2"/>
  <c r="M50" i="2" s="1"/>
  <c r="L54" i="2"/>
  <c r="L56" i="2" s="1"/>
  <c r="K54" i="2"/>
  <c r="K56" i="2" s="1"/>
  <c r="G43" i="1"/>
  <c r="G44" i="1" s="1"/>
  <c r="D25" i="2"/>
  <c r="D26" i="2" s="1"/>
  <c r="D8" i="4" l="1"/>
  <c r="D12" i="4" s="1"/>
  <c r="D14" i="4" s="1"/>
  <c r="D18" i="3"/>
  <c r="H41" i="1"/>
  <c r="H42" i="1" s="1"/>
  <c r="E28" i="4"/>
  <c r="E30" i="4" s="1"/>
  <c r="E22" i="2"/>
  <c r="E24" i="2" s="1"/>
  <c r="F15" i="2"/>
  <c r="F9" i="3"/>
  <c r="N30" i="2"/>
  <c r="N32" i="2" s="1"/>
  <c r="N36" i="2" s="1"/>
  <c r="N10" i="3" s="1"/>
  <c r="M36" i="2"/>
  <c r="M10" i="3" s="1"/>
  <c r="G71" i="1"/>
  <c r="G11" i="2"/>
  <c r="G70" i="1"/>
  <c r="G72" i="1" s="1"/>
  <c r="G73" i="1" s="1"/>
  <c r="G46" i="1"/>
  <c r="G12" i="2"/>
  <c r="I43" i="2"/>
  <c r="I44" i="2"/>
  <c r="I46" i="2" s="1"/>
  <c r="I61" i="2" s="1"/>
  <c r="I23" i="2" s="1"/>
  <c r="M53" i="2"/>
  <c r="N50" i="2" s="1"/>
  <c r="F16" i="3"/>
  <c r="F11" i="4"/>
  <c r="C8" i="3"/>
  <c r="C11" i="3" s="1"/>
  <c r="C21" i="3" s="1"/>
  <c r="I38" i="1" l="1"/>
  <c r="H45" i="1"/>
  <c r="H43" i="1"/>
  <c r="H44" i="1" s="1"/>
  <c r="E25" i="2"/>
  <c r="E26" i="2"/>
  <c r="E8" i="4" s="1"/>
  <c r="E12" i="4" s="1"/>
  <c r="E14" i="4" s="1"/>
  <c r="E16" i="4" s="1"/>
  <c r="N54" i="2"/>
  <c r="N56" i="2" s="1"/>
  <c r="N53" i="2"/>
  <c r="G8" i="2"/>
  <c r="G10" i="2" s="1"/>
  <c r="G48" i="1"/>
  <c r="G49" i="1" s="1"/>
  <c r="E31" i="4"/>
  <c r="E32" i="4" s="1"/>
  <c r="E36" i="4" s="1"/>
  <c r="E39" i="4" s="1"/>
  <c r="M54" i="2"/>
  <c r="M56" i="2" s="1"/>
  <c r="D19" i="3"/>
  <c r="D20" i="3" s="1"/>
  <c r="F20" i="2"/>
  <c r="F16" i="2"/>
  <c r="G14" i="3"/>
  <c r="I60" i="2"/>
  <c r="I15" i="3" s="1"/>
  <c r="J40" i="2"/>
  <c r="F10" i="4"/>
  <c r="F35" i="4"/>
  <c r="D16" i="4"/>
  <c r="D17" i="4" s="1"/>
  <c r="J43" i="2" l="1"/>
  <c r="G9" i="3"/>
  <c r="G15" i="2"/>
  <c r="G16" i="3"/>
  <c r="G11" i="4"/>
  <c r="E17" i="4"/>
  <c r="D8" i="3"/>
  <c r="D11" i="3" s="1"/>
  <c r="D21" i="3" s="1"/>
  <c r="H11" i="2"/>
  <c r="H70" i="1"/>
  <c r="H46" i="1"/>
  <c r="H71" i="1"/>
  <c r="H12" i="2"/>
  <c r="F28" i="4"/>
  <c r="F30" i="4" s="1"/>
  <c r="F22" i="2"/>
  <c r="F24" i="2" s="1"/>
  <c r="E18" i="3"/>
  <c r="I41" i="1"/>
  <c r="I42" i="1" s="1"/>
  <c r="J38" i="1" l="1"/>
  <c r="I45" i="1"/>
  <c r="I43" i="1"/>
  <c r="I44" i="1" s="1"/>
  <c r="H48" i="1"/>
  <c r="H49" i="1" s="1"/>
  <c r="H8" i="2"/>
  <c r="H10" i="2" s="1"/>
  <c r="F31" i="4"/>
  <c r="F32" i="4" s="1"/>
  <c r="F36" i="4" s="1"/>
  <c r="F39" i="4" s="1"/>
  <c r="H14" i="3"/>
  <c r="G35" i="4"/>
  <c r="G10" i="4"/>
  <c r="H72" i="1"/>
  <c r="H73" i="1" s="1"/>
  <c r="G20" i="2"/>
  <c r="G16" i="2"/>
  <c r="E19" i="3"/>
  <c r="E20" i="3" s="1"/>
  <c r="K40" i="2"/>
  <c r="J60" i="2"/>
  <c r="J15" i="3" s="1"/>
  <c r="F25" i="2"/>
  <c r="F26" i="2" s="1"/>
  <c r="E8" i="3"/>
  <c r="E11" i="3" s="1"/>
  <c r="E21" i="3" s="1"/>
  <c r="J44" i="2"/>
  <c r="J46" i="2" s="1"/>
  <c r="J61" i="2" s="1"/>
  <c r="J23" i="2" s="1"/>
  <c r="F8" i="4" l="1"/>
  <c r="F12" i="4" s="1"/>
  <c r="F14" i="4" s="1"/>
  <c r="F18" i="3"/>
  <c r="G22" i="2"/>
  <c r="G24" i="2" s="1"/>
  <c r="G28" i="4"/>
  <c r="G30" i="4" s="1"/>
  <c r="I12" i="2"/>
  <c r="I70" i="1"/>
  <c r="I72" i="1" s="1"/>
  <c r="I73" i="1" s="1"/>
  <c r="I46" i="1"/>
  <c r="I71" i="1"/>
  <c r="I11" i="2"/>
  <c r="H9" i="3"/>
  <c r="H15" i="2"/>
  <c r="K43" i="2"/>
  <c r="K44" i="2" s="1"/>
  <c r="K46" i="2" s="1"/>
  <c r="K61" i="2" s="1"/>
  <c r="K23" i="2" s="1"/>
  <c r="H11" i="4"/>
  <c r="H16" i="3"/>
  <c r="J41" i="1"/>
  <c r="J42" i="1" s="1"/>
  <c r="K38" i="1" l="1"/>
  <c r="J45" i="1"/>
  <c r="J43" i="1"/>
  <c r="J44" i="1" s="1"/>
  <c r="H20" i="2"/>
  <c r="H16" i="2"/>
  <c r="K60" i="2"/>
  <c r="K15" i="3" s="1"/>
  <c r="L40" i="2"/>
  <c r="H10" i="4"/>
  <c r="H35" i="4"/>
  <c r="F19" i="3"/>
  <c r="F20" i="3" s="1"/>
  <c r="G31" i="4"/>
  <c r="G32" i="4" s="1"/>
  <c r="G36" i="4" s="1"/>
  <c r="G39" i="4" s="1"/>
  <c r="G25" i="2"/>
  <c r="G26" i="2" s="1"/>
  <c r="I14" i="3"/>
  <c r="I8" i="2"/>
  <c r="I10" i="2" s="1"/>
  <c r="I48" i="1"/>
  <c r="I49" i="1" s="1"/>
  <c r="F16" i="4"/>
  <c r="F17" i="4" s="1"/>
  <c r="G8" i="4" l="1"/>
  <c r="G12" i="4" s="1"/>
  <c r="G14" i="4" s="1"/>
  <c r="G18" i="3"/>
  <c r="F8" i="3"/>
  <c r="F11" i="3" s="1"/>
  <c r="F21" i="3" s="1"/>
  <c r="H28" i="4"/>
  <c r="H30" i="4" s="1"/>
  <c r="H22" i="2"/>
  <c r="H24" i="2" s="1"/>
  <c r="I15" i="2"/>
  <c r="I9" i="3"/>
  <c r="L43" i="2"/>
  <c r="J70" i="1"/>
  <c r="J46" i="1"/>
  <c r="J11" i="2"/>
  <c r="J14" i="3" s="1"/>
  <c r="J71" i="1"/>
  <c r="J12" i="2"/>
  <c r="I11" i="4"/>
  <c r="I16" i="3"/>
  <c r="K41" i="1"/>
  <c r="K42" i="1" s="1"/>
  <c r="L38" i="1" l="1"/>
  <c r="K45" i="1"/>
  <c r="K43" i="1"/>
  <c r="K44" i="1" s="1"/>
  <c r="I20" i="2"/>
  <c r="I16" i="2"/>
  <c r="H25" i="2"/>
  <c r="H26" i="2"/>
  <c r="M40" i="2"/>
  <c r="L60" i="2"/>
  <c r="L15" i="3" s="1"/>
  <c r="J11" i="4"/>
  <c r="J16" i="3"/>
  <c r="J8" i="2"/>
  <c r="J10" i="2" s="1"/>
  <c r="J48" i="1"/>
  <c r="J49" i="1" s="1"/>
  <c r="L44" i="2"/>
  <c r="L46" i="2" s="1"/>
  <c r="L61" i="2" s="1"/>
  <c r="L23" i="2" s="1"/>
  <c r="H31" i="4"/>
  <c r="H32" i="4" s="1"/>
  <c r="H36" i="4" s="1"/>
  <c r="H39" i="4" s="1"/>
  <c r="J72" i="1"/>
  <c r="J73" i="1" s="1"/>
  <c r="G19" i="3"/>
  <c r="G20" i="3" s="1"/>
  <c r="I35" i="4"/>
  <c r="I10" i="4"/>
  <c r="G16" i="4"/>
  <c r="G17" i="4" s="1"/>
  <c r="J15" i="2" l="1"/>
  <c r="J9" i="3"/>
  <c r="I28" i="4"/>
  <c r="I30" i="4" s="1"/>
  <c r="I22" i="2"/>
  <c r="I24" i="2" s="1"/>
  <c r="M43" i="2"/>
  <c r="G8" i="3"/>
  <c r="G11" i="3" s="1"/>
  <c r="G21" i="3" s="1"/>
  <c r="H8" i="4"/>
  <c r="H12" i="4" s="1"/>
  <c r="H14" i="4" s="1"/>
  <c r="H18" i="3"/>
  <c r="K46" i="1"/>
  <c r="K12" i="2"/>
  <c r="K70" i="1"/>
  <c r="K72" i="1" s="1"/>
  <c r="K73" i="1" s="1"/>
  <c r="K11" i="2"/>
  <c r="K14" i="3" s="1"/>
  <c r="K71" i="1"/>
  <c r="L41" i="1"/>
  <c r="L42" i="1"/>
  <c r="L43" i="1" s="1"/>
  <c r="L44" i="1" s="1"/>
  <c r="L12" i="2" l="1"/>
  <c r="L46" i="1"/>
  <c r="L70" i="1"/>
  <c r="L11" i="2"/>
  <c r="L14" i="3" s="1"/>
  <c r="L71" i="1"/>
  <c r="K16" i="3"/>
  <c r="K11" i="4"/>
  <c r="K48" i="1"/>
  <c r="K49" i="1" s="1"/>
  <c r="K8" i="2"/>
  <c r="K10" i="2" s="1"/>
  <c r="I31" i="4"/>
  <c r="I32" i="4"/>
  <c r="I36" i="4" s="1"/>
  <c r="I39" i="4" s="1"/>
  <c r="N40" i="2"/>
  <c r="M60" i="2"/>
  <c r="M15" i="3" s="1"/>
  <c r="H19" i="3"/>
  <c r="H20" i="3" s="1"/>
  <c r="H16" i="4"/>
  <c r="H17" i="4" s="1"/>
  <c r="B51" i="4"/>
  <c r="D51" i="4" s="1"/>
  <c r="B27" i="5"/>
  <c r="E27" i="5" s="1"/>
  <c r="J35" i="4"/>
  <c r="J10" i="4"/>
  <c r="M44" i="2"/>
  <c r="M46" i="2" s="1"/>
  <c r="M61" i="2" s="1"/>
  <c r="M23" i="2" s="1"/>
  <c r="I25" i="2"/>
  <c r="I26" i="2" s="1"/>
  <c r="L45" i="1"/>
  <c r="M38" i="1"/>
  <c r="J16" i="2"/>
  <c r="J20" i="2"/>
  <c r="I8" i="4" l="1"/>
  <c r="I12" i="4" s="1"/>
  <c r="I14" i="4" s="1"/>
  <c r="I18" i="3"/>
  <c r="J28" i="4"/>
  <c r="J30" i="4" s="1"/>
  <c r="J22" i="2"/>
  <c r="J24" i="2" s="1"/>
  <c r="N43" i="2"/>
  <c r="N60" i="2" s="1"/>
  <c r="N15" i="3" s="1"/>
  <c r="L72" i="1"/>
  <c r="L73" i="1" s="1"/>
  <c r="H8" i="3"/>
  <c r="H11" i="3" s="1"/>
  <c r="H21" i="3" s="1"/>
  <c r="L48" i="1"/>
  <c r="L49" i="1" s="1"/>
  <c r="L8" i="2"/>
  <c r="L10" i="2" s="1"/>
  <c r="L11" i="4"/>
  <c r="L16" i="3"/>
  <c r="M43" i="1"/>
  <c r="M44" i="1" s="1"/>
  <c r="M41" i="1"/>
  <c r="M42" i="1"/>
  <c r="K9" i="3"/>
  <c r="K15" i="2"/>
  <c r="N44" i="4" l="1"/>
  <c r="B12" i="5"/>
  <c r="M11" i="2"/>
  <c r="M14" i="3" s="1"/>
  <c r="M71" i="1"/>
  <c r="M12" i="2"/>
  <c r="M46" i="1"/>
  <c r="M70" i="1"/>
  <c r="M72" i="1" s="1"/>
  <c r="M73" i="1" s="1"/>
  <c r="N44" i="2"/>
  <c r="N46" i="2" s="1"/>
  <c r="N61" i="2" s="1"/>
  <c r="N23" i="2" s="1"/>
  <c r="K20" i="2"/>
  <c r="K16" i="2"/>
  <c r="L9" i="3"/>
  <c r="L15" i="2"/>
  <c r="J25" i="2"/>
  <c r="J26" i="2"/>
  <c r="K35" i="4"/>
  <c r="K10" i="4"/>
  <c r="J31" i="4"/>
  <c r="J32" i="4"/>
  <c r="J36" i="4" s="1"/>
  <c r="J39" i="4" s="1"/>
  <c r="I19" i="3"/>
  <c r="I20" i="3" s="1"/>
  <c r="M45" i="1"/>
  <c r="N38" i="1"/>
  <c r="I16" i="4"/>
  <c r="I17" i="4" s="1"/>
  <c r="J8" i="4" l="1"/>
  <c r="J12" i="4" s="1"/>
  <c r="J14" i="4" s="1"/>
  <c r="B26" i="5"/>
  <c r="E26" i="5" s="1"/>
  <c r="M11" i="4"/>
  <c r="M16" i="3"/>
  <c r="M48" i="1"/>
  <c r="M49" i="1" s="1"/>
  <c r="M8" i="2"/>
  <c r="M10" i="2" s="1"/>
  <c r="L20" i="2"/>
  <c r="L16" i="2"/>
  <c r="J18" i="3"/>
  <c r="I8" i="3"/>
  <c r="I11" i="3" s="1"/>
  <c r="I21" i="3" s="1"/>
  <c r="L10" i="4"/>
  <c r="L35" i="4"/>
  <c r="K22" i="2"/>
  <c r="K24" i="2" s="1"/>
  <c r="K28" i="4"/>
  <c r="K30" i="4" s="1"/>
  <c r="N41" i="1"/>
  <c r="N42" i="1"/>
  <c r="L22" i="2" l="1"/>
  <c r="L24" i="2" s="1"/>
  <c r="L28" i="4"/>
  <c r="L30" i="4" s="1"/>
  <c r="B6" i="5"/>
  <c r="N45" i="1"/>
  <c r="B8" i="5" s="1"/>
  <c r="B29" i="5"/>
  <c r="E29" i="5" s="1"/>
  <c r="K31" i="4"/>
  <c r="K32" i="4"/>
  <c r="K36" i="4" s="1"/>
  <c r="K39" i="4" s="1"/>
  <c r="K25" i="2"/>
  <c r="K26" i="2"/>
  <c r="K18" i="3" s="1"/>
  <c r="M9" i="3"/>
  <c r="M15" i="2"/>
  <c r="N43" i="1"/>
  <c r="N44" i="1" s="1"/>
  <c r="J19" i="3"/>
  <c r="J20" i="3" s="1"/>
  <c r="J16" i="4"/>
  <c r="J17" i="4" s="1"/>
  <c r="K19" i="3" l="1"/>
  <c r="K20" i="3" s="1"/>
  <c r="J8" i="3"/>
  <c r="J11" i="3" s="1"/>
  <c r="J21" i="3" s="1"/>
  <c r="M16" i="2"/>
  <c r="M20" i="2"/>
  <c r="L31" i="4"/>
  <c r="L32" i="4"/>
  <c r="L36" i="4" s="1"/>
  <c r="L39" i="4" s="1"/>
  <c r="B19" i="5"/>
  <c r="M10" i="4"/>
  <c r="M35" i="4"/>
  <c r="K8" i="4"/>
  <c r="K12" i="4" s="1"/>
  <c r="K14" i="4" s="1"/>
  <c r="N12" i="2"/>
  <c r="N11" i="2"/>
  <c r="N14" i="3" s="1"/>
  <c r="N46" i="1"/>
  <c r="N70" i="1"/>
  <c r="N71" i="1"/>
  <c r="L25" i="2"/>
  <c r="L26" i="2"/>
  <c r="L8" i="4" s="1"/>
  <c r="L12" i="4" s="1"/>
  <c r="L14" i="4" s="1"/>
  <c r="L16" i="4" s="1"/>
  <c r="K16" i="4" l="1"/>
  <c r="K17" i="4" s="1"/>
  <c r="M28" i="4"/>
  <c r="M30" i="4" s="1"/>
  <c r="M22" i="2"/>
  <c r="M24" i="2" s="1"/>
  <c r="N11" i="4"/>
  <c r="N16" i="3"/>
  <c r="N72" i="1"/>
  <c r="N73" i="1" s="1"/>
  <c r="N48" i="1"/>
  <c r="N49" i="1" s="1"/>
  <c r="N8" i="2"/>
  <c r="N10" i="2" s="1"/>
  <c r="E15" i="5"/>
  <c r="B33" i="5"/>
  <c r="E33" i="5" s="1"/>
  <c r="E11" i="5"/>
  <c r="L18" i="3"/>
  <c r="M25" i="2" l="1"/>
  <c r="M26" i="2"/>
  <c r="N9" i="3"/>
  <c r="N15" i="2"/>
  <c r="B15" i="5"/>
  <c r="M32" i="4"/>
  <c r="M36" i="4" s="1"/>
  <c r="M39" i="4" s="1"/>
  <c r="M31" i="4"/>
  <c r="L19" i="3"/>
  <c r="L20" i="3" s="1"/>
  <c r="K8" i="3"/>
  <c r="K11" i="3" s="1"/>
  <c r="K21" i="3" s="1"/>
  <c r="L17" i="4"/>
  <c r="L8" i="3" l="1"/>
  <c r="L11" i="3" s="1"/>
  <c r="L21" i="3" s="1"/>
  <c r="N16" i="2"/>
  <c r="N20" i="2"/>
  <c r="N10" i="4"/>
  <c r="N35" i="4"/>
  <c r="M8" i="4"/>
  <c r="M12" i="4" s="1"/>
  <c r="M14" i="4" s="1"/>
  <c r="M18" i="3"/>
  <c r="N28" i="4" l="1"/>
  <c r="N30" i="4" s="1"/>
  <c r="N22" i="2"/>
  <c r="N24" i="2" s="1"/>
  <c r="B17" i="5"/>
  <c r="E10" i="5" s="1"/>
  <c r="M19" i="3"/>
  <c r="M20" i="3" s="1"/>
  <c r="M16" i="4"/>
  <c r="M17" i="4" s="1"/>
  <c r="M8" i="3" l="1"/>
  <c r="M11" i="3" s="1"/>
  <c r="M21" i="3" s="1"/>
  <c r="N31" i="4"/>
  <c r="N32" i="4" s="1"/>
  <c r="N36" i="4" s="1"/>
  <c r="N25" i="2"/>
  <c r="N26" i="2" s="1"/>
  <c r="N8" i="4" l="1"/>
  <c r="N12" i="4" s="1"/>
  <c r="N14" i="4" s="1"/>
  <c r="B16" i="5"/>
  <c r="N18" i="3"/>
  <c r="N19" i="3" s="1"/>
  <c r="N40" i="4"/>
  <c r="N41" i="4" s="1"/>
  <c r="N42" i="4" s="1"/>
  <c r="N39" i="4"/>
  <c r="B18" i="5" l="1"/>
  <c r="N20" i="3"/>
  <c r="E16" i="5"/>
  <c r="N16" i="4"/>
  <c r="N17" i="4" s="1"/>
  <c r="B52" i="4"/>
  <c r="D52" i="4" s="1"/>
  <c r="B28" i="5"/>
  <c r="E28" i="5" s="1"/>
  <c r="N8" i="3" l="1"/>
  <c r="N43" i="4" l="1"/>
  <c r="N45" i="4" s="1"/>
  <c r="E17" i="5" s="1"/>
  <c r="B11" i="5"/>
  <c r="B13" i="5" s="1"/>
  <c r="B14" i="5" s="1"/>
  <c r="N11" i="3"/>
  <c r="N21" i="3" s="1"/>
  <c r="B53" i="4"/>
  <c r="D53" i="4" s="1"/>
  <c r="E9" i="5" l="1"/>
  <c r="E8" i="5"/>
  <c r="E7" i="5"/>
  <c r="B25" i="5"/>
  <c r="E25" i="5" s="1"/>
  <c r="E34" i="5" s="1"/>
  <c r="B27" i="3"/>
  <c r="D27" i="3" s="1"/>
</calcChain>
</file>

<file path=xl/sharedStrings.xml><?xml version="1.0" encoding="utf-8"?>
<sst xmlns="http://schemas.openxmlformats.org/spreadsheetml/2006/main" count="422" uniqueCount="210">
  <si>
    <t>AI-Kontur — Unit Economics and Operating Drivers</t>
  </si>
  <si>
    <t>Blue text on yellow fill marks editable case assumptions. Green text marks formulas linked from another statement.</t>
  </si>
  <si>
    <t>Metric</t>
  </si>
  <si>
    <t>Unit</t>
  </si>
  <si>
    <t>Y1 Q1</t>
  </si>
  <si>
    <t>Y1 Q2</t>
  </si>
  <si>
    <t>Y1 Q3</t>
  </si>
  <si>
    <t>Y1 Q4</t>
  </si>
  <si>
    <t>Y2 Q1</t>
  </si>
  <si>
    <t>Y2 Q2</t>
  </si>
  <si>
    <t>Y2 Q3</t>
  </si>
  <si>
    <t>Y2 Q4</t>
  </si>
  <si>
    <t>Y3 Q1</t>
  </si>
  <si>
    <t>Y3 Q2</t>
  </si>
  <si>
    <t>Y3 Q3</t>
  </si>
  <si>
    <t>Y3 Q4</t>
  </si>
  <si>
    <t>Operating, Cost and Financing Assumptions</t>
  </si>
  <si>
    <t>New customers</t>
  </si>
  <si>
    <t>customers</t>
  </si>
  <si>
    <t>MRR per customer</t>
  </si>
  <si>
    <t>RUB / month</t>
  </si>
  <si>
    <t>Monthly logo churn</t>
  </si>
  <si>
    <t>%</t>
  </si>
  <si>
    <t>Customer acquisition cost (CAC)</t>
  </si>
  <si>
    <t>RUB / customer</t>
  </si>
  <si>
    <t>Public API token cost</t>
  </si>
  <si>
    <t>RUB / cust. / month</t>
  </si>
  <si>
    <t>Variable customer support</t>
  </si>
  <si>
    <t>Marginal local AI compute</t>
  </si>
  <si>
    <t>Onboarding fee</t>
  </si>
  <si>
    <t>Direct onboarding delivery cost</t>
  </si>
  <si>
    <t>R&amp;D and MLOps</t>
  </si>
  <si>
    <t>RUB / quarter</t>
  </si>
  <si>
    <t>Local GPU: data center, power, maintenance</t>
  </si>
  <si>
    <t>G&amp;A</t>
  </si>
  <si>
    <t>Local AI infrastructure CapEx</t>
  </si>
  <si>
    <t>Days sales outstanding (DSO)</t>
  </si>
  <si>
    <t>days</t>
  </si>
  <si>
    <t>Days payable outstanding (DPO)</t>
  </si>
  <si>
    <t>Income tax rate</t>
  </si>
  <si>
    <t>Loan A draw</t>
  </si>
  <si>
    <t>RUB</t>
  </si>
  <si>
    <t>Loan A principal repayment</t>
  </si>
  <si>
    <t>Loan A annual interest rate</t>
  </si>
  <si>
    <t>Loan B draw</t>
  </si>
  <si>
    <t>Loan B principal repayment</t>
  </si>
  <si>
    <t>Loan B annual interest rate</t>
  </si>
  <si>
    <t>GPU useful life</t>
  </si>
  <si>
    <t>quarters</t>
  </si>
  <si>
    <t>Opening cash / paid-in capital</t>
  </si>
  <si>
    <t>Opening active customers</t>
  </si>
  <si>
    <t>Months per quarter</t>
  </si>
  <si>
    <t>months</t>
  </si>
  <si>
    <t>Customer Base and Revenue Build</t>
  </si>
  <si>
    <t>Beginning active customers</t>
  </si>
  <si>
    <t>Quarterly churn</t>
  </si>
  <si>
    <t>Customers lost</t>
  </si>
  <si>
    <t>Ending active customers</t>
  </si>
  <si>
    <t>Average active customers</t>
  </si>
  <si>
    <t>Billable customer-months</t>
  </si>
  <si>
    <t>customer-months</t>
  </si>
  <si>
    <t>Ending MRR</t>
  </si>
  <si>
    <t>Subscription revenue</t>
  </si>
  <si>
    <t>Onboarding revenue</t>
  </si>
  <si>
    <t>Total revenue</t>
  </si>
  <si>
    <t>Quarter-on-quarter revenue growth</t>
  </si>
  <si>
    <t>Marginal Unit Economics</t>
  </si>
  <si>
    <t>CAC</t>
  </si>
  <si>
    <t>Cash contribution per customer</t>
  </si>
  <si>
    <t>Cash contribution margin</t>
  </si>
  <si>
    <t>Implied customer lifetime</t>
  </si>
  <si>
    <t>LTV / CAC</t>
  </si>
  <si>
    <t>x</t>
  </si>
  <si>
    <t>CAC payback period</t>
  </si>
  <si>
    <t>CAC / MRR</t>
  </si>
  <si>
    <t>Fully Loaded Capacity View</t>
  </si>
  <si>
    <t>Allocated local GPU operating cost</t>
  </si>
  <si>
    <t>Allocated depreciation</t>
  </si>
  <si>
    <t>Fully loaded contribution per customer</t>
  </si>
  <si>
    <t>Fully loaded contribution margin</t>
  </si>
  <si>
    <t>AI-Kontur — Profit &amp; Loss</t>
  </si>
  <si>
    <t>All monetary amounts are presented in millions of Russian rubles (RUB m). Quarterly income statement with infrastructure, depreciation and debt schedules embedded below.</t>
  </si>
  <si>
    <t>Income Statement</t>
  </si>
  <si>
    <t>RUB m</t>
  </si>
  <si>
    <t>Revenue</t>
  </si>
  <si>
    <t>Public API token costs</t>
  </si>
  <si>
    <t>Onboarding delivery costs</t>
  </si>
  <si>
    <t>Gross profit</t>
  </si>
  <si>
    <t>Gross margin</t>
  </si>
  <si>
    <t>Sales and marketing / CAC</t>
  </si>
  <si>
    <t>EBITDA</t>
  </si>
  <si>
    <t>Depreciation</t>
  </si>
  <si>
    <t>EBIT</t>
  </si>
  <si>
    <t>Interest expense</t>
  </si>
  <si>
    <t>Earnings before tax</t>
  </si>
  <si>
    <t>Income tax</t>
  </si>
  <si>
    <t>Net income</t>
  </si>
  <si>
    <t>Property, Plant and Equipment Schedule</t>
  </si>
  <si>
    <t>Beginning gross PP&amp;E</t>
  </si>
  <si>
    <t>Capital expenditure</t>
  </si>
  <si>
    <t>Ending gross PP&amp;E</t>
  </si>
  <si>
    <t>Beginning accumulated depreciation</t>
  </si>
  <si>
    <t>Depreciation expense</t>
  </si>
  <si>
    <t>Ending accumulated depreciation</t>
  </si>
  <si>
    <t>Net PP&amp;E</t>
  </si>
  <si>
    <t>Loan A Schedule</t>
  </si>
  <si>
    <t>Beginning balance</t>
  </si>
  <si>
    <t>Debt draw</t>
  </si>
  <si>
    <t>Principal repayment</t>
  </si>
  <si>
    <t>Ending balance</t>
  </si>
  <si>
    <t>Average balance</t>
  </si>
  <si>
    <t>Annual interest rate</t>
  </si>
  <si>
    <t>Loan B Schedule</t>
  </si>
  <si>
    <t>Debt Summary</t>
  </si>
  <si>
    <t>Total ending debt</t>
  </si>
  <si>
    <t>Total interest expense</t>
  </si>
  <si>
    <t>AI-Kontur — Balance Sheet</t>
  </si>
  <si>
    <t>Quarter-end balances. Cash is linked to the cash flow roll-forward on the DCF sheet.</t>
  </si>
  <si>
    <t>Assets</t>
  </si>
  <si>
    <t>Cash and cash equivalents</t>
  </si>
  <si>
    <t>Accounts receivable</t>
  </si>
  <si>
    <t>Total assets</t>
  </si>
  <si>
    <t>Liabilities and Shareholders' Equity</t>
  </si>
  <si>
    <t>Accounts payable</t>
  </si>
  <si>
    <t>Interest-bearing debt</t>
  </si>
  <si>
    <t>Total liabilities</t>
  </si>
  <si>
    <t>Paid-in capital</t>
  </si>
  <si>
    <t>Retained earnings</t>
  </si>
  <si>
    <t>Total shareholders' equity</t>
  </si>
  <si>
    <t>Total liabilities and equity</t>
  </si>
  <si>
    <t>Balance check</t>
  </si>
  <si>
    <t>Reconciliation</t>
  </si>
  <si>
    <t>Check</t>
  </si>
  <si>
    <t>Actual</t>
  </si>
  <si>
    <t>Tolerance</t>
  </si>
  <si>
    <t>Status</t>
  </si>
  <si>
    <t>Maximum absolute balance difference</t>
  </si>
  <si>
    <t>AI-Kontur — Cash Flow and DCF</t>
  </si>
  <si>
    <t>The first section is the cash flow statement; the second values quarterly unlevered free cash flow using a Gordon-growth terminal value.</t>
  </si>
  <si>
    <t>Cash Flow Statement</t>
  </si>
  <si>
    <t>Decrease / (increase) in accounts receivable</t>
  </si>
  <si>
    <t>Increase / (decrease) in accounts payable</t>
  </si>
  <si>
    <t>Cash flow from operations</t>
  </si>
  <si>
    <t>Free cash flow</t>
  </si>
  <si>
    <t>Net debt change</t>
  </si>
  <si>
    <t>Change in cash</t>
  </si>
  <si>
    <t>Ending cash</t>
  </si>
  <si>
    <t>DCF Assumptions</t>
  </si>
  <si>
    <t>Annual WACC</t>
  </si>
  <si>
    <t>Terminal growth rate</t>
  </si>
  <si>
    <t>Unlevered Free Cash Flow Valuation</t>
  </si>
  <si>
    <t>Tax on EBIT</t>
  </si>
  <si>
    <t>NOPAT</t>
  </si>
  <si>
    <t>Depreciation add-back</t>
  </si>
  <si>
    <t>Change in net working capital</t>
  </si>
  <si>
    <t>Unlevered free cash flow</t>
  </si>
  <si>
    <t>Discount period</t>
  </si>
  <si>
    <t>years</t>
  </si>
  <si>
    <t>Discount factor</t>
  </si>
  <si>
    <t>Present value of UFCF</t>
  </si>
  <si>
    <t>Terminal value</t>
  </si>
  <si>
    <t>Present value of terminal value</t>
  </si>
  <si>
    <t>DCF enterprise value</t>
  </si>
  <si>
    <t>Cash at valuation date</t>
  </si>
  <si>
    <t>Debt at valuation date</t>
  </si>
  <si>
    <t>DCF equity value</t>
  </si>
  <si>
    <t>Cash Flow Checks</t>
  </si>
  <si>
    <t>Expected</t>
  </si>
  <si>
    <t>FCF through Y2 Q2</t>
  </si>
  <si>
    <t>&lt; 0</t>
  </si>
  <si>
    <t>FCF from Y2 Q3 onward</t>
  </si>
  <si>
    <t>&gt; 0</t>
  </si>
  <si>
    <t>Ending cash ties to Balance Sheet</t>
  </si>
  <si>
    <t>0</t>
  </si>
  <si>
    <t>AI-Kontur — Business Valuation</t>
  </si>
  <si>
    <t>The buyer offers cash-free, debt-free Enterprise Value equal to 10× exit MRR. Equity multiples use Equity Value; enterprise multiples use Enterprise Value.</t>
  </si>
  <si>
    <t>Exit Transaction at the End of Y3 Q4</t>
  </si>
  <si>
    <t>Trading multiple</t>
  </si>
  <si>
    <t>Value</t>
  </si>
  <si>
    <t>P / E</t>
  </si>
  <si>
    <t>Exit MRR</t>
  </si>
  <si>
    <t>P / S</t>
  </si>
  <si>
    <t>Sale multiple</t>
  </si>
  <si>
    <t>P / B</t>
  </si>
  <si>
    <t>Enterprise value</t>
  </si>
  <si>
    <t>EV / EBITDA</t>
  </si>
  <si>
    <t>Cash</t>
  </si>
  <si>
    <t>EV / ARR</t>
  </si>
  <si>
    <t>Debt</t>
  </si>
  <si>
    <t>Net cash</t>
  </si>
  <si>
    <t>Equity value</t>
  </si>
  <si>
    <t>Valuation cross-check</t>
  </si>
  <si>
    <t>LTM revenue</t>
  </si>
  <si>
    <t>Exit multiple enterprise value</t>
  </si>
  <si>
    <t>LTM net income</t>
  </si>
  <si>
    <t>LTM EBITDA</t>
  </si>
  <si>
    <t>Book equity</t>
  </si>
  <si>
    <t>Annual recurring revenue</t>
  </si>
  <si>
    <t>Model Integrity Checks</t>
  </si>
  <si>
    <t>Balance sheet balances</t>
  </si>
  <si>
    <t>Year 2 net income is positive</t>
  </si>
  <si>
    <t>FCF through Y2 Q2 is negative</t>
  </si>
  <si>
    <t>FCF from Y2 Q3 onward is positive</t>
  </si>
  <si>
    <t>Active customers grow every quarter</t>
  </si>
  <si>
    <t>Marginal contribution is positive</t>
  </si>
  <si>
    <t>CAC equals 5–10 monthly checks</t>
  </si>
  <si>
    <t>5–10x</t>
  </si>
  <si>
    <t>Debt is drawn in Q1 and Q5 only</t>
  </si>
  <si>
    <t>Exit price equals 10× MRR</t>
  </si>
  <si>
    <t>MODEL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</si>
</sst>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[Red]\(#,##0\);\-"/>
    <numFmt numFmtId="165" formatCode="0.0%;[Red]\(0.0%\);\-"/>
    <numFmt numFmtId="166" formatCode="#,##0.0,,;[Red]\(#,##0.0,,\);\-"/>
    <numFmt numFmtId="167" formatCode="#,##0.0;[Red]\(#,##0.0\);\-"/>
    <numFmt numFmtId="168" formatCode="0.0\x;[Red]\(0.0\x\);\-"/>
    <numFmt numFmtId="169" formatCode="0.000\x"/>
  </numFmts>
  <fonts count="8">
    <font>
      <sz val="11"/>
      <name val="Carlito"/>
    </font>
    <font>
      <b/>
      <sz val="10"/>
      <color rgb="FFFFFFFF"/>
      <name val="Aptos"/>
    </font>
    <font>
      <i/>
      <sz val="10"/>
      <color rgb="FF404040"/>
      <name val="Aptos"/>
    </font>
    <font>
      <sz val="10"/>
      <name val="Aptos"/>
    </font>
    <font>
      <b/>
      <sz val="10"/>
      <name val="Aptos"/>
    </font>
    <font>
      <sz val="10"/>
      <color rgb="FF0000FF"/>
      <name val="Aptos"/>
    </font>
    <font>
      <sz val="10"/>
      <color rgb="FF008000"/>
      <name val="Aptos"/>
    </font>
    <font>
      <b/>
      <sz val="10"/>
      <color rgb="FF008000"/>
      <name val="Aptos"/>
    </font>
  </fonts>
  <fills count="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3F8"/>
      </patternFill>
    </fill>
    <fill>
      <patternFill patternType="solid">
        <fgColor rgb="FFE7E6E6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4">
    <border>
      <left/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7" borderId="0" xfId="0" applyFont="1" applyFill="1"/>
    <xf numFmtId="164" fontId="3" fillId="0" borderId="0" xfId="0" applyNumberFormat="1" applyFont="1"/>
    <xf numFmtId="0" fontId="4" fillId="8" borderId="0" xfId="0" applyFont="1" applyFill="1"/>
    <xf numFmtId="168" fontId="4" fillId="8" borderId="0" xfId="0" applyNumberFormat="1" applyFont="1" applyFill="1"/>
    <xf numFmtId="164" fontId="6" fillId="0" borderId="0" xfId="0" applyNumberFormat="1" applyFont="1"/>
    <xf numFmtId="0" fontId="3" fillId="0" borderId="0" xfId="0" applyFont="1" applyAlignment="1">
      <alignment vertical="center"/>
    </xf>
    <xf numFmtId="164" fontId="5" fillId="6" borderId="0" xfId="0" applyNumberFormat="1" applyFont="1" applyFill="1" applyAlignment="1">
      <alignment vertical="center"/>
    </xf>
    <xf numFmtId="165" fontId="5" fillId="6" borderId="0" xfId="0" applyNumberFormat="1" applyFont="1" applyFill="1" applyAlignment="1">
      <alignment vertical="center"/>
    </xf>
    <xf numFmtId="166" fontId="5" fillId="6" borderId="0" xfId="0" applyNumberFormat="1" applyFont="1" applyFill="1" applyAlignment="1">
      <alignment vertical="center"/>
    </xf>
    <xf numFmtId="167" fontId="5" fillId="6" borderId="0" xfId="0" applyNumberFormat="1" applyFont="1" applyFill="1" applyAlignment="1">
      <alignment vertical="center"/>
    </xf>
    <xf numFmtId="167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4" fillId="7" borderId="0" xfId="0" applyFont="1" applyFill="1" applyAlignment="1">
      <alignment vertical="center"/>
    </xf>
    <xf numFmtId="166" fontId="4" fillId="7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8" borderId="0" xfId="0" applyFont="1" applyFill="1" applyAlignment="1">
      <alignment vertical="center"/>
    </xf>
    <xf numFmtId="164" fontId="4" fillId="8" borderId="0" xfId="0" applyNumberFormat="1" applyFont="1" applyFill="1" applyAlignment="1">
      <alignment vertical="center"/>
    </xf>
    <xf numFmtId="165" fontId="4" fillId="8" borderId="0" xfId="0" applyNumberFormat="1" applyFont="1" applyFill="1" applyAlignment="1">
      <alignment vertical="center"/>
    </xf>
    <xf numFmtId="168" fontId="4" fillId="8" borderId="0" xfId="0" applyNumberFormat="1" applyFont="1" applyFill="1" applyAlignment="1">
      <alignment vertical="center"/>
    </xf>
    <xf numFmtId="167" fontId="4" fillId="8" borderId="0" xfId="0" applyNumberFormat="1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166" fontId="6" fillId="0" borderId="0" xfId="0" applyNumberFormat="1" applyFont="1"/>
    <xf numFmtId="166" fontId="6" fillId="0" borderId="0" xfId="0" applyNumberFormat="1" applyFont="1" applyAlignment="1">
      <alignment vertical="center"/>
    </xf>
    <xf numFmtId="165" fontId="4" fillId="7" borderId="0" xfId="0" applyNumberFormat="1" applyFont="1" applyFill="1" applyAlignment="1">
      <alignment vertical="center"/>
    </xf>
    <xf numFmtId="166" fontId="4" fillId="8" borderId="0" xfId="0" applyNumberFormat="1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166" fontId="7" fillId="8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166" fontId="7" fillId="7" borderId="0" xfId="0" applyNumberFormat="1" applyFont="1" applyFill="1" applyAlignment="1">
      <alignment vertical="center"/>
    </xf>
    <xf numFmtId="167" fontId="6" fillId="0" borderId="0" xfId="0" applyNumberFormat="1" applyFont="1"/>
    <xf numFmtId="168" fontId="5" fillId="6" borderId="0" xfId="0" applyNumberFormat="1" applyFont="1" applyFill="1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" fillId="5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1" fillId="5" borderId="0" xfId="0" applyFont="1" applyFill="1"/>
  </cellXfs>
  <cellStyles count="1">
    <cellStyle name="Normal" xfId="0" builtinId="0"/>
  </cellStyles>
  <dxfs count="6"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showGridLines="0" topLeftCell="A37" zoomScale="125" workbookViewId="0">
      <selection activeCell="D59" sqref="D59"/>
    </sheetView>
  </sheetViews>
  <sheetFormatPr baseColWidth="10" defaultColWidth="8.83203125" defaultRowHeight="15"/>
  <cols>
    <col min="1" max="1" width="39" customWidth="1"/>
    <col min="2" max="2" width="15" customWidth="1"/>
    <col min="3" max="14" width="13" customWidth="1"/>
  </cols>
  <sheetData>
    <row r="1" spans="1:14" ht="32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0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4" customHeight="1">
      <c r="A5" s="2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5" t="s">
        <v>15</v>
      </c>
    </row>
    <row r="6" spans="1:1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2" customHeight="1">
      <c r="A7" s="43" t="s">
        <v>16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>
      <c r="A8" s="11" t="s">
        <v>17</v>
      </c>
      <c r="B8" s="11" t="s">
        <v>18</v>
      </c>
      <c r="C8" s="12">
        <v>18</v>
      </c>
      <c r="D8" s="12">
        <v>30</v>
      </c>
      <c r="E8" s="12">
        <v>46</v>
      </c>
      <c r="F8" s="12">
        <v>60</v>
      </c>
      <c r="G8" s="12">
        <v>64</v>
      </c>
      <c r="H8" s="12">
        <v>58</v>
      </c>
      <c r="I8" s="12">
        <v>48</v>
      </c>
      <c r="J8" s="12">
        <v>40</v>
      </c>
      <c r="K8" s="12">
        <v>34</v>
      </c>
      <c r="L8" s="12">
        <v>30</v>
      </c>
      <c r="M8" s="12">
        <v>27</v>
      </c>
      <c r="N8" s="12">
        <v>26</v>
      </c>
    </row>
    <row r="9" spans="1:14">
      <c r="A9" s="11" t="s">
        <v>19</v>
      </c>
      <c r="B9" s="11" t="s">
        <v>20</v>
      </c>
      <c r="C9" s="12">
        <v>80000</v>
      </c>
      <c r="D9" s="12">
        <v>80000</v>
      </c>
      <c r="E9" s="12">
        <v>82000</v>
      </c>
      <c r="F9" s="12">
        <v>82000</v>
      </c>
      <c r="G9" s="12">
        <v>85000</v>
      </c>
      <c r="H9" s="12">
        <v>85000</v>
      </c>
      <c r="I9" s="12">
        <v>88000</v>
      </c>
      <c r="J9" s="12">
        <v>88000</v>
      </c>
      <c r="K9" s="12">
        <v>92000</v>
      </c>
      <c r="L9" s="12">
        <v>92000</v>
      </c>
      <c r="M9" s="12">
        <v>95000</v>
      </c>
      <c r="N9" s="12">
        <v>95000</v>
      </c>
    </row>
    <row r="10" spans="1:14">
      <c r="A10" s="11" t="s">
        <v>21</v>
      </c>
      <c r="B10" s="11" t="s">
        <v>22</v>
      </c>
      <c r="C10" s="13">
        <v>0.04</v>
      </c>
      <c r="D10" s="13">
        <v>3.9E-2</v>
      </c>
      <c r="E10" s="13">
        <v>3.7999999999999999E-2</v>
      </c>
      <c r="F10" s="13">
        <v>3.6999999999999998E-2</v>
      </c>
      <c r="G10" s="13">
        <v>3.5999999999999997E-2</v>
      </c>
      <c r="H10" s="13">
        <v>3.5000000000000003E-2</v>
      </c>
      <c r="I10" s="13">
        <v>3.4000000000000002E-2</v>
      </c>
      <c r="J10" s="13">
        <v>3.3000000000000002E-2</v>
      </c>
      <c r="K10" s="13">
        <v>3.2000000000000001E-2</v>
      </c>
      <c r="L10" s="13">
        <v>3.1E-2</v>
      </c>
      <c r="M10" s="13">
        <v>0.03</v>
      </c>
      <c r="N10" s="13">
        <v>0.03</v>
      </c>
    </row>
    <row r="11" spans="1:14">
      <c r="A11" s="11" t="s">
        <v>23</v>
      </c>
      <c r="B11" s="11" t="s">
        <v>24</v>
      </c>
      <c r="C11" s="12">
        <v>560000</v>
      </c>
      <c r="D11" s="12">
        <v>550000</v>
      </c>
      <c r="E11" s="12">
        <v>540000</v>
      </c>
      <c r="F11" s="12">
        <v>530000</v>
      </c>
      <c r="G11" s="12">
        <v>520000</v>
      </c>
      <c r="H11" s="12">
        <v>510000</v>
      </c>
      <c r="I11" s="12">
        <v>500000</v>
      </c>
      <c r="J11" s="12">
        <v>495000</v>
      </c>
      <c r="K11" s="12">
        <v>490000</v>
      </c>
      <c r="L11" s="12">
        <v>485000</v>
      </c>
      <c r="M11" s="12">
        <v>480000</v>
      </c>
      <c r="N11" s="12">
        <v>475000</v>
      </c>
    </row>
    <row r="12" spans="1:14">
      <c r="A12" s="11" t="s">
        <v>25</v>
      </c>
      <c r="B12" s="11" t="s">
        <v>26</v>
      </c>
      <c r="C12" s="12">
        <v>4200</v>
      </c>
      <c r="D12" s="12">
        <v>4000</v>
      </c>
      <c r="E12" s="12">
        <v>3800</v>
      </c>
      <c r="F12" s="12">
        <v>3600</v>
      </c>
      <c r="G12" s="12">
        <v>3400</v>
      </c>
      <c r="H12" s="12">
        <v>3200</v>
      </c>
      <c r="I12" s="12">
        <v>3000</v>
      </c>
      <c r="J12" s="12">
        <v>2800</v>
      </c>
      <c r="K12" s="12">
        <v>2650</v>
      </c>
      <c r="L12" s="12">
        <v>2500</v>
      </c>
      <c r="M12" s="12">
        <v>2350</v>
      </c>
      <c r="N12" s="12">
        <v>2200</v>
      </c>
    </row>
    <row r="13" spans="1:14">
      <c r="A13" s="11" t="s">
        <v>27</v>
      </c>
      <c r="B13" s="11" t="s">
        <v>26</v>
      </c>
      <c r="C13" s="12">
        <v>8000</v>
      </c>
      <c r="D13" s="12">
        <v>7800</v>
      </c>
      <c r="E13" s="12">
        <v>7600</v>
      </c>
      <c r="F13" s="12">
        <v>7400</v>
      </c>
      <c r="G13" s="12">
        <v>7200</v>
      </c>
      <c r="H13" s="12">
        <v>7000</v>
      </c>
      <c r="I13" s="12">
        <v>6800</v>
      </c>
      <c r="J13" s="12">
        <v>6600</v>
      </c>
      <c r="K13" s="12">
        <v>6400</v>
      </c>
      <c r="L13" s="12">
        <v>6200</v>
      </c>
      <c r="M13" s="12">
        <v>6000</v>
      </c>
      <c r="N13" s="12">
        <v>5800</v>
      </c>
    </row>
    <row r="14" spans="1:14">
      <c r="A14" s="11" t="s">
        <v>28</v>
      </c>
      <c r="B14" s="11" t="s">
        <v>26</v>
      </c>
      <c r="C14" s="12">
        <v>5500</v>
      </c>
      <c r="D14" s="12">
        <v>5300</v>
      </c>
      <c r="E14" s="12">
        <v>5100</v>
      </c>
      <c r="F14" s="12">
        <v>4900</v>
      </c>
      <c r="G14" s="12">
        <v>4700</v>
      </c>
      <c r="H14" s="12">
        <v>4500</v>
      </c>
      <c r="I14" s="12">
        <v>4300</v>
      </c>
      <c r="J14" s="12">
        <v>4100</v>
      </c>
      <c r="K14" s="12">
        <v>3900</v>
      </c>
      <c r="L14" s="12">
        <v>3700</v>
      </c>
      <c r="M14" s="12">
        <v>3400</v>
      </c>
      <c r="N14" s="12">
        <v>3200</v>
      </c>
    </row>
    <row r="15" spans="1:14">
      <c r="A15" s="11" t="s">
        <v>29</v>
      </c>
      <c r="B15" s="11" t="s">
        <v>24</v>
      </c>
      <c r="C15" s="12">
        <v>120000</v>
      </c>
      <c r="D15" s="12">
        <v>120000</v>
      </c>
      <c r="E15" s="12">
        <v>120000</v>
      </c>
      <c r="F15" s="12">
        <v>120000</v>
      </c>
      <c r="G15" s="12">
        <v>120000</v>
      </c>
      <c r="H15" s="12">
        <v>120000</v>
      </c>
      <c r="I15" s="12">
        <v>120000</v>
      </c>
      <c r="J15" s="12">
        <v>120000</v>
      </c>
      <c r="K15" s="12">
        <v>120000</v>
      </c>
      <c r="L15" s="12">
        <v>120000</v>
      </c>
      <c r="M15" s="12">
        <v>120000</v>
      </c>
      <c r="N15" s="12">
        <v>120000</v>
      </c>
    </row>
    <row r="16" spans="1:14">
      <c r="A16" s="11" t="s">
        <v>30</v>
      </c>
      <c r="B16" s="11" t="s">
        <v>24</v>
      </c>
      <c r="C16" s="12">
        <v>70000</v>
      </c>
      <c r="D16" s="12">
        <v>70000</v>
      </c>
      <c r="E16" s="12">
        <v>70000</v>
      </c>
      <c r="F16" s="12">
        <v>70000</v>
      </c>
      <c r="G16" s="12">
        <v>70000</v>
      </c>
      <c r="H16" s="12">
        <v>70000</v>
      </c>
      <c r="I16" s="12">
        <v>70000</v>
      </c>
      <c r="J16" s="12">
        <v>70000</v>
      </c>
      <c r="K16" s="12">
        <v>70000</v>
      </c>
      <c r="L16" s="12">
        <v>70000</v>
      </c>
      <c r="M16" s="12">
        <v>70000</v>
      </c>
      <c r="N16" s="12">
        <v>70000</v>
      </c>
    </row>
    <row r="17" spans="1:14">
      <c r="A17" s="11" t="s">
        <v>31</v>
      </c>
      <c r="B17" s="11" t="s">
        <v>32</v>
      </c>
      <c r="C17" s="14">
        <v>6000000</v>
      </c>
      <c r="D17" s="14">
        <v>6500000</v>
      </c>
      <c r="E17" s="14">
        <v>7000000</v>
      </c>
      <c r="F17" s="14">
        <v>7500000</v>
      </c>
      <c r="G17" s="14">
        <v>7800000</v>
      </c>
      <c r="H17" s="14">
        <v>8000000</v>
      </c>
      <c r="I17" s="14">
        <v>8200000</v>
      </c>
      <c r="J17" s="14">
        <v>8400000</v>
      </c>
      <c r="K17" s="14">
        <v>8600000</v>
      </c>
      <c r="L17" s="14">
        <v>8800000</v>
      </c>
      <c r="M17" s="14">
        <v>9000000</v>
      </c>
      <c r="N17" s="14">
        <v>9200000</v>
      </c>
    </row>
    <row r="18" spans="1:14">
      <c r="A18" s="11" t="s">
        <v>33</v>
      </c>
      <c r="B18" s="11" t="s">
        <v>32</v>
      </c>
      <c r="C18" s="14">
        <v>1100000</v>
      </c>
      <c r="D18" s="14">
        <v>1100000</v>
      </c>
      <c r="E18" s="14">
        <v>1100000</v>
      </c>
      <c r="F18" s="14">
        <v>1100000</v>
      </c>
      <c r="G18" s="14">
        <v>2200000</v>
      </c>
      <c r="H18" s="14">
        <v>2200000</v>
      </c>
      <c r="I18" s="14">
        <v>2200000</v>
      </c>
      <c r="J18" s="14">
        <v>2200000</v>
      </c>
      <c r="K18" s="14">
        <v>2200000</v>
      </c>
      <c r="L18" s="14">
        <v>2200000</v>
      </c>
      <c r="M18" s="14">
        <v>2200000</v>
      </c>
      <c r="N18" s="14">
        <v>2200000</v>
      </c>
    </row>
    <row r="19" spans="1:14">
      <c r="A19" s="11" t="s">
        <v>34</v>
      </c>
      <c r="B19" s="11" t="s">
        <v>32</v>
      </c>
      <c r="C19" s="14">
        <v>3000000</v>
      </c>
      <c r="D19" s="14">
        <v>3200000</v>
      </c>
      <c r="E19" s="14">
        <v>3400000</v>
      </c>
      <c r="F19" s="14">
        <v>3600000</v>
      </c>
      <c r="G19" s="14">
        <v>3800000</v>
      </c>
      <c r="H19" s="14">
        <v>4000000</v>
      </c>
      <c r="I19" s="14">
        <v>4200000</v>
      </c>
      <c r="J19" s="14">
        <v>4400000</v>
      </c>
      <c r="K19" s="14">
        <v>4600000</v>
      </c>
      <c r="L19" s="14">
        <v>4800000</v>
      </c>
      <c r="M19" s="14">
        <v>5000000</v>
      </c>
      <c r="N19" s="14">
        <v>5200000</v>
      </c>
    </row>
    <row r="20" spans="1:14">
      <c r="A20" s="11" t="s">
        <v>35</v>
      </c>
      <c r="B20" s="11" t="s">
        <v>32</v>
      </c>
      <c r="C20" s="14">
        <v>28000000</v>
      </c>
      <c r="D20" s="14">
        <v>4000000</v>
      </c>
      <c r="E20" s="14">
        <v>5000000</v>
      </c>
      <c r="F20" s="14">
        <v>6000000</v>
      </c>
      <c r="G20" s="14">
        <v>28000000</v>
      </c>
      <c r="H20" s="14">
        <v>7000000</v>
      </c>
      <c r="I20" s="14">
        <v>5000000</v>
      </c>
      <c r="J20" s="14">
        <v>4000000</v>
      </c>
      <c r="K20" s="14">
        <v>4000000</v>
      </c>
      <c r="L20" s="14">
        <v>4000000</v>
      </c>
      <c r="M20" s="14">
        <v>4000000</v>
      </c>
      <c r="N20" s="14">
        <v>4000000</v>
      </c>
    </row>
    <row r="21" spans="1:14">
      <c r="A21" s="11" t="s">
        <v>36</v>
      </c>
      <c r="B21" s="11" t="s">
        <v>37</v>
      </c>
      <c r="C21" s="12">
        <v>25</v>
      </c>
      <c r="D21" s="12">
        <v>25</v>
      </c>
      <c r="E21" s="12">
        <v>25</v>
      </c>
      <c r="F21" s="12">
        <v>25</v>
      </c>
      <c r="G21" s="12">
        <v>25</v>
      </c>
      <c r="H21" s="12">
        <v>25</v>
      </c>
      <c r="I21" s="12">
        <v>25</v>
      </c>
      <c r="J21" s="12">
        <v>25</v>
      </c>
      <c r="K21" s="12">
        <v>25</v>
      </c>
      <c r="L21" s="12">
        <v>25</v>
      </c>
      <c r="M21" s="12">
        <v>25</v>
      </c>
      <c r="N21" s="12">
        <v>25</v>
      </c>
    </row>
    <row r="22" spans="1:14">
      <c r="A22" s="11" t="s">
        <v>38</v>
      </c>
      <c r="B22" s="11" t="s">
        <v>37</v>
      </c>
      <c r="C22" s="12">
        <v>20</v>
      </c>
      <c r="D22" s="12">
        <v>20</v>
      </c>
      <c r="E22" s="12">
        <v>20</v>
      </c>
      <c r="F22" s="12">
        <v>20</v>
      </c>
      <c r="G22" s="12">
        <v>20</v>
      </c>
      <c r="H22" s="12">
        <v>20</v>
      </c>
      <c r="I22" s="12">
        <v>20</v>
      </c>
      <c r="J22" s="12">
        <v>20</v>
      </c>
      <c r="K22" s="12">
        <v>20</v>
      </c>
      <c r="L22" s="12">
        <v>20</v>
      </c>
      <c r="M22" s="12">
        <v>20</v>
      </c>
      <c r="N22" s="12">
        <v>20</v>
      </c>
    </row>
    <row r="23" spans="1:14">
      <c r="A23" s="11" t="s">
        <v>39</v>
      </c>
      <c r="B23" s="11" t="s">
        <v>22</v>
      </c>
      <c r="C23" s="13">
        <v>0.2</v>
      </c>
      <c r="D23" s="13">
        <v>0.2</v>
      </c>
      <c r="E23" s="13">
        <v>0.2</v>
      </c>
      <c r="F23" s="13">
        <v>0.2</v>
      </c>
      <c r="G23" s="13">
        <v>0.2</v>
      </c>
      <c r="H23" s="13">
        <v>0.2</v>
      </c>
      <c r="I23" s="13">
        <v>0.2</v>
      </c>
      <c r="J23" s="13">
        <v>0.2</v>
      </c>
      <c r="K23" s="13">
        <v>0.2</v>
      </c>
      <c r="L23" s="13">
        <v>0.2</v>
      </c>
      <c r="M23" s="13">
        <v>0.2</v>
      </c>
      <c r="N23" s="13">
        <v>0.2</v>
      </c>
    </row>
    <row r="24" spans="1:14">
      <c r="A24" s="11" t="s">
        <v>40</v>
      </c>
      <c r="B24" s="11" t="s">
        <v>41</v>
      </c>
      <c r="C24" s="14">
        <v>45000000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</row>
    <row r="25" spans="1:14">
      <c r="A25" s="11" t="s">
        <v>42</v>
      </c>
      <c r="B25" s="11" t="s">
        <v>41</v>
      </c>
      <c r="C25" s="14">
        <v>0</v>
      </c>
      <c r="D25" s="14">
        <v>0</v>
      </c>
      <c r="E25" s="14">
        <v>0</v>
      </c>
      <c r="F25" s="14">
        <v>0</v>
      </c>
      <c r="G25" s="14">
        <v>5625000</v>
      </c>
      <c r="H25" s="14">
        <v>5625000</v>
      </c>
      <c r="I25" s="14">
        <v>5625000</v>
      </c>
      <c r="J25" s="14">
        <v>5625000</v>
      </c>
      <c r="K25" s="14">
        <v>5625000</v>
      </c>
      <c r="L25" s="14">
        <v>5625000</v>
      </c>
      <c r="M25" s="14">
        <v>5625000</v>
      </c>
      <c r="N25" s="14">
        <v>5625000</v>
      </c>
    </row>
    <row r="26" spans="1:14">
      <c r="A26" s="11" t="s">
        <v>43</v>
      </c>
      <c r="B26" s="11" t="s">
        <v>22</v>
      </c>
      <c r="C26" s="13">
        <v>0.14000000000000001</v>
      </c>
      <c r="D26" s="13">
        <v>0.14000000000000001</v>
      </c>
      <c r="E26" s="13">
        <v>0.14000000000000001</v>
      </c>
      <c r="F26" s="13">
        <v>0.14000000000000001</v>
      </c>
      <c r="G26" s="13">
        <v>0.14000000000000001</v>
      </c>
      <c r="H26" s="13">
        <v>0.14000000000000001</v>
      </c>
      <c r="I26" s="13">
        <v>0.14000000000000001</v>
      </c>
      <c r="J26" s="13">
        <v>0.14000000000000001</v>
      </c>
      <c r="K26" s="13">
        <v>0.14000000000000001</v>
      </c>
      <c r="L26" s="13">
        <v>0.14000000000000001</v>
      </c>
      <c r="M26" s="13">
        <v>0.14000000000000001</v>
      </c>
      <c r="N26" s="13">
        <v>0.14000000000000001</v>
      </c>
    </row>
    <row r="27" spans="1:14">
      <c r="A27" s="11" t="s">
        <v>44</v>
      </c>
      <c r="B27" s="11" t="s">
        <v>41</v>
      </c>
      <c r="C27" s="14">
        <v>0</v>
      </c>
      <c r="D27" s="14">
        <v>0</v>
      </c>
      <c r="E27" s="14">
        <v>0</v>
      </c>
      <c r="F27" s="14">
        <v>0</v>
      </c>
      <c r="G27" s="14">
        <v>35000000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</row>
    <row r="28" spans="1:14">
      <c r="A28" s="11" t="s">
        <v>45</v>
      </c>
      <c r="B28" s="11" t="s">
        <v>41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5833333</v>
      </c>
      <c r="J28" s="14">
        <v>5833333</v>
      </c>
      <c r="K28" s="14">
        <v>5833333</v>
      </c>
      <c r="L28" s="14">
        <v>5833333</v>
      </c>
      <c r="M28" s="14">
        <v>5833333</v>
      </c>
      <c r="N28" s="14">
        <v>5833335</v>
      </c>
    </row>
    <row r="29" spans="1:14">
      <c r="A29" s="11" t="s">
        <v>46</v>
      </c>
      <c r="B29" s="11" t="s">
        <v>22</v>
      </c>
      <c r="C29" s="13">
        <v>0.16</v>
      </c>
      <c r="D29" s="13">
        <v>0.16</v>
      </c>
      <c r="E29" s="13">
        <v>0.16</v>
      </c>
      <c r="F29" s="13">
        <v>0.16</v>
      </c>
      <c r="G29" s="13">
        <v>0.16</v>
      </c>
      <c r="H29" s="13">
        <v>0.16</v>
      </c>
      <c r="I29" s="13">
        <v>0.16</v>
      </c>
      <c r="J29" s="13">
        <v>0.16</v>
      </c>
      <c r="K29" s="13">
        <v>0.16</v>
      </c>
      <c r="L29" s="13">
        <v>0.16</v>
      </c>
      <c r="M29" s="13">
        <v>0.16</v>
      </c>
      <c r="N29" s="13">
        <v>0.16</v>
      </c>
    </row>
    <row r="30" spans="1:14">
      <c r="A30" s="11" t="s">
        <v>47</v>
      </c>
      <c r="B30" s="11" t="s">
        <v>48</v>
      </c>
      <c r="C30" s="12">
        <v>12</v>
      </c>
      <c r="D30" s="12">
        <v>12</v>
      </c>
      <c r="E30" s="12">
        <v>12</v>
      </c>
      <c r="F30" s="12">
        <v>12</v>
      </c>
      <c r="G30" s="12">
        <v>12</v>
      </c>
      <c r="H30" s="12">
        <v>12</v>
      </c>
      <c r="I30" s="12">
        <v>12</v>
      </c>
      <c r="J30" s="12">
        <v>12</v>
      </c>
      <c r="K30" s="12">
        <v>12</v>
      </c>
      <c r="L30" s="12">
        <v>12</v>
      </c>
      <c r="M30" s="12">
        <v>12</v>
      </c>
      <c r="N30" s="12">
        <v>12</v>
      </c>
    </row>
    <row r="31" spans="1:14">
      <c r="A31" s="11" t="s">
        <v>49</v>
      </c>
      <c r="B31" s="11" t="s">
        <v>41</v>
      </c>
      <c r="C31" s="14">
        <v>120000000</v>
      </c>
      <c r="D31" s="14">
        <v>120000000</v>
      </c>
      <c r="E31" s="14">
        <v>120000000</v>
      </c>
      <c r="F31" s="14">
        <v>120000000</v>
      </c>
      <c r="G31" s="14">
        <v>120000000</v>
      </c>
      <c r="H31" s="14">
        <v>120000000</v>
      </c>
      <c r="I31" s="14">
        <v>120000000</v>
      </c>
      <c r="J31" s="14">
        <v>120000000</v>
      </c>
      <c r="K31" s="14">
        <v>120000000</v>
      </c>
      <c r="L31" s="14">
        <v>120000000</v>
      </c>
      <c r="M31" s="14">
        <v>120000000</v>
      </c>
      <c r="N31" s="14">
        <v>120000000</v>
      </c>
    </row>
    <row r="32" spans="1:14">
      <c r="A32" s="11" t="s">
        <v>50</v>
      </c>
      <c r="B32" s="11" t="s">
        <v>18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</row>
    <row r="33" spans="1:14">
      <c r="A33" s="11" t="s">
        <v>51</v>
      </c>
      <c r="B33" s="11" t="s">
        <v>52</v>
      </c>
      <c r="C33" s="12">
        <v>3</v>
      </c>
      <c r="D33" s="12">
        <v>3</v>
      </c>
      <c r="E33" s="12">
        <v>3</v>
      </c>
      <c r="F33" s="12">
        <v>3</v>
      </c>
      <c r="G33" s="12">
        <v>3</v>
      </c>
      <c r="H33" s="12">
        <v>3</v>
      </c>
      <c r="I33" s="12">
        <v>3</v>
      </c>
      <c r="J33" s="12">
        <v>3</v>
      </c>
      <c r="K33" s="12">
        <v>3</v>
      </c>
      <c r="L33" s="12">
        <v>3</v>
      </c>
      <c r="M33" s="12">
        <v>3</v>
      </c>
      <c r="N33" s="12">
        <v>3</v>
      </c>
    </row>
    <row r="34" spans="1:1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22" customHeight="1">
      <c r="A36" s="43" t="s">
        <v>53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A38" s="11" t="s">
        <v>54</v>
      </c>
      <c r="B38" s="11" t="s">
        <v>18</v>
      </c>
      <c r="C38" s="16">
        <f>C32</f>
        <v>0</v>
      </c>
      <c r="D38" s="16">
        <f t="shared" ref="D38:N38" si="0">C42</f>
        <v>18</v>
      </c>
      <c r="E38" s="16">
        <f t="shared" si="0"/>
        <v>45.975066257999998</v>
      </c>
      <c r="F38" s="16">
        <f t="shared" si="0"/>
        <v>86.930549947781941</v>
      </c>
      <c r="G38" s="16">
        <f t="shared" si="0"/>
        <v>137.63387937906717</v>
      </c>
      <c r="H38" s="16">
        <f t="shared" si="0"/>
        <v>187.29811948287741</v>
      </c>
      <c r="I38" s="16">
        <f t="shared" si="0"/>
        <v>226.31210711940201</v>
      </c>
      <c r="J38" s="16">
        <f t="shared" si="0"/>
        <v>252.00422760965486</v>
      </c>
      <c r="K38" s="16">
        <f t="shared" si="0"/>
        <v>267.87005061197215</v>
      </c>
      <c r="L38" s="16">
        <f t="shared" si="0"/>
        <v>276.96864498288431</v>
      </c>
      <c r="M38" s="16">
        <f t="shared" si="0"/>
        <v>282.000810430059</v>
      </c>
      <c r="N38" s="16">
        <f t="shared" si="0"/>
        <v>284.37452565763323</v>
      </c>
    </row>
    <row r="39" spans="1:14">
      <c r="A39" s="11" t="s">
        <v>55</v>
      </c>
      <c r="B39" s="11" t="s">
        <v>22</v>
      </c>
      <c r="C39" s="17">
        <f t="shared" ref="C39:N39" si="1">1-(1-C10)^C33</f>
        <v>0.11526400000000003</v>
      </c>
      <c r="D39" s="17">
        <f t="shared" si="1"/>
        <v>0.11249631900000012</v>
      </c>
      <c r="E39" s="17">
        <f t="shared" si="1"/>
        <v>0.10972287200000008</v>
      </c>
      <c r="F39" s="17">
        <f t="shared" si="1"/>
        <v>0.10694365300000019</v>
      </c>
      <c r="G39" s="17">
        <f t="shared" si="1"/>
        <v>0.10415865600000007</v>
      </c>
      <c r="H39" s="17">
        <f t="shared" si="1"/>
        <v>0.10136787500000011</v>
      </c>
      <c r="I39" s="17">
        <f t="shared" si="1"/>
        <v>9.8571304000000026E-2</v>
      </c>
      <c r="J39" s="17">
        <f t="shared" si="1"/>
        <v>9.5768937000000109E-2</v>
      </c>
      <c r="K39" s="17">
        <f t="shared" si="1"/>
        <v>9.2960768000000082E-2</v>
      </c>
      <c r="L39" s="17">
        <f t="shared" si="1"/>
        <v>9.0146791000000115E-2</v>
      </c>
      <c r="M39" s="17">
        <f t="shared" si="1"/>
        <v>8.7327000000000043E-2</v>
      </c>
      <c r="N39" s="17">
        <f t="shared" si="1"/>
        <v>8.7327000000000043E-2</v>
      </c>
    </row>
    <row r="40" spans="1:14">
      <c r="A40" s="11" t="s">
        <v>17</v>
      </c>
      <c r="B40" s="11" t="s">
        <v>18</v>
      </c>
      <c r="C40" s="16">
        <f t="shared" ref="C40:N40" si="2">C8</f>
        <v>18</v>
      </c>
      <c r="D40" s="16">
        <f t="shared" si="2"/>
        <v>30</v>
      </c>
      <c r="E40" s="16">
        <f t="shared" si="2"/>
        <v>46</v>
      </c>
      <c r="F40" s="16">
        <f t="shared" si="2"/>
        <v>60</v>
      </c>
      <c r="G40" s="16">
        <f t="shared" si="2"/>
        <v>64</v>
      </c>
      <c r="H40" s="16">
        <f t="shared" si="2"/>
        <v>58</v>
      </c>
      <c r="I40" s="16">
        <f t="shared" si="2"/>
        <v>48</v>
      </c>
      <c r="J40" s="16">
        <f t="shared" si="2"/>
        <v>40</v>
      </c>
      <c r="K40" s="16">
        <f t="shared" si="2"/>
        <v>34</v>
      </c>
      <c r="L40" s="16">
        <f t="shared" si="2"/>
        <v>30</v>
      </c>
      <c r="M40" s="16">
        <f t="shared" si="2"/>
        <v>27</v>
      </c>
      <c r="N40" s="16">
        <f t="shared" si="2"/>
        <v>26</v>
      </c>
    </row>
    <row r="41" spans="1:14">
      <c r="A41" s="11" t="s">
        <v>56</v>
      </c>
      <c r="B41" s="11" t="s">
        <v>18</v>
      </c>
      <c r="C41" s="16">
        <f t="shared" ref="C41:N41" si="3">C38*C39</f>
        <v>0</v>
      </c>
      <c r="D41" s="16">
        <f t="shared" si="3"/>
        <v>2.0249337420000022</v>
      </c>
      <c r="E41" s="16">
        <f t="shared" si="3"/>
        <v>5.0445163102180564</v>
      </c>
      <c r="F41" s="16">
        <f t="shared" si="3"/>
        <v>9.2966705687147773</v>
      </c>
      <c r="G41" s="16">
        <f t="shared" si="3"/>
        <v>14.33575989618976</v>
      </c>
      <c r="H41" s="16">
        <f t="shared" si="3"/>
        <v>18.986012363475403</v>
      </c>
      <c r="I41" s="16">
        <f t="shared" si="3"/>
        <v>22.307879509747146</v>
      </c>
      <c r="J41" s="16">
        <f t="shared" si="3"/>
        <v>24.134176997682726</v>
      </c>
      <c r="K41" s="16">
        <f t="shared" si="3"/>
        <v>24.901405629087822</v>
      </c>
      <c r="L41" s="16">
        <f t="shared" si="3"/>
        <v>24.967834552825302</v>
      </c>
      <c r="M41" s="16">
        <f t="shared" si="3"/>
        <v>24.626284772425777</v>
      </c>
      <c r="N41" s="16">
        <f t="shared" si="3"/>
        <v>24.833574202104149</v>
      </c>
    </row>
    <row r="42" spans="1:14">
      <c r="A42" s="11" t="s">
        <v>57</v>
      </c>
      <c r="B42" s="11" t="s">
        <v>18</v>
      </c>
      <c r="C42" s="16">
        <f t="shared" ref="C42:N42" si="4">C38-C41+C40</f>
        <v>18</v>
      </c>
      <c r="D42" s="16">
        <f t="shared" si="4"/>
        <v>45.975066257999998</v>
      </c>
      <c r="E42" s="16">
        <f t="shared" si="4"/>
        <v>86.930549947781941</v>
      </c>
      <c r="F42" s="16">
        <f t="shared" si="4"/>
        <v>137.63387937906717</v>
      </c>
      <c r="G42" s="16">
        <f t="shared" si="4"/>
        <v>187.29811948287741</v>
      </c>
      <c r="H42" s="16">
        <f t="shared" si="4"/>
        <v>226.31210711940201</v>
      </c>
      <c r="I42" s="16">
        <f t="shared" si="4"/>
        <v>252.00422760965486</v>
      </c>
      <c r="J42" s="16">
        <f t="shared" si="4"/>
        <v>267.87005061197215</v>
      </c>
      <c r="K42" s="16">
        <f t="shared" si="4"/>
        <v>276.96864498288431</v>
      </c>
      <c r="L42" s="16">
        <f t="shared" si="4"/>
        <v>282.000810430059</v>
      </c>
      <c r="M42" s="16">
        <f t="shared" si="4"/>
        <v>284.37452565763323</v>
      </c>
      <c r="N42" s="16">
        <f t="shared" si="4"/>
        <v>285.54095145552907</v>
      </c>
    </row>
    <row r="43" spans="1:14">
      <c r="A43" s="11" t="s">
        <v>58</v>
      </c>
      <c r="B43" s="11" t="s">
        <v>18</v>
      </c>
      <c r="C43" s="16">
        <f t="shared" ref="C43:N43" si="5">(C38+C42)/2</f>
        <v>9</v>
      </c>
      <c r="D43" s="16">
        <f t="shared" si="5"/>
        <v>31.987533128999999</v>
      </c>
      <c r="E43" s="16">
        <f t="shared" si="5"/>
        <v>66.45280810289097</v>
      </c>
      <c r="F43" s="16">
        <f t="shared" si="5"/>
        <v>112.28221466342455</v>
      </c>
      <c r="G43" s="16">
        <f t="shared" si="5"/>
        <v>162.46599943097229</v>
      </c>
      <c r="H43" s="16">
        <f t="shared" si="5"/>
        <v>206.80511330113973</v>
      </c>
      <c r="I43" s="16">
        <f t="shared" si="5"/>
        <v>239.15816736452842</v>
      </c>
      <c r="J43" s="16">
        <f t="shared" si="5"/>
        <v>259.93713911081352</v>
      </c>
      <c r="K43" s="16">
        <f t="shared" si="5"/>
        <v>272.41934779742826</v>
      </c>
      <c r="L43" s="16">
        <f t="shared" si="5"/>
        <v>279.48472770647163</v>
      </c>
      <c r="M43" s="16">
        <f t="shared" si="5"/>
        <v>283.18766804384609</v>
      </c>
      <c r="N43" s="16">
        <f t="shared" si="5"/>
        <v>284.95773855658115</v>
      </c>
    </row>
    <row r="44" spans="1:14">
      <c r="A44" s="11" t="s">
        <v>59</v>
      </c>
      <c r="B44" s="11" t="s">
        <v>60</v>
      </c>
      <c r="C44" s="16">
        <f t="shared" ref="C44:N44" si="6">C43*C33</f>
        <v>27</v>
      </c>
      <c r="D44" s="16">
        <f t="shared" si="6"/>
        <v>95.962599386999997</v>
      </c>
      <c r="E44" s="16">
        <f t="shared" si="6"/>
        <v>199.35842430867291</v>
      </c>
      <c r="F44" s="16">
        <f t="shared" si="6"/>
        <v>336.84664399027366</v>
      </c>
      <c r="G44" s="16">
        <f t="shared" si="6"/>
        <v>487.3979982929169</v>
      </c>
      <c r="H44" s="16">
        <f t="shared" si="6"/>
        <v>620.41533990341918</v>
      </c>
      <c r="I44" s="16">
        <f t="shared" si="6"/>
        <v>717.47450209358522</v>
      </c>
      <c r="J44" s="16">
        <f t="shared" si="6"/>
        <v>779.81141733244056</v>
      </c>
      <c r="K44" s="16">
        <f t="shared" si="6"/>
        <v>817.25804339228478</v>
      </c>
      <c r="L44" s="16">
        <f t="shared" si="6"/>
        <v>838.45418311941489</v>
      </c>
      <c r="M44" s="16">
        <f t="shared" si="6"/>
        <v>849.56300413153826</v>
      </c>
      <c r="N44" s="16">
        <f t="shared" si="6"/>
        <v>854.87321566974344</v>
      </c>
    </row>
    <row r="45" spans="1:14">
      <c r="A45" s="11" t="s">
        <v>61</v>
      </c>
      <c r="B45" s="11" t="s">
        <v>20</v>
      </c>
      <c r="C45" s="18">
        <f t="shared" ref="C45:N45" si="7">C42*C9</f>
        <v>1440000</v>
      </c>
      <c r="D45" s="18">
        <f t="shared" si="7"/>
        <v>3678005.30064</v>
      </c>
      <c r="E45" s="18">
        <f t="shared" si="7"/>
        <v>7128305.0957181193</v>
      </c>
      <c r="F45" s="18">
        <f t="shared" si="7"/>
        <v>11285978.109083507</v>
      </c>
      <c r="G45" s="18">
        <f t="shared" si="7"/>
        <v>15920340.15604458</v>
      </c>
      <c r="H45" s="18">
        <f t="shared" si="7"/>
        <v>19236529.105149172</v>
      </c>
      <c r="I45" s="18">
        <f t="shared" si="7"/>
        <v>22176372.029649626</v>
      </c>
      <c r="J45" s="18">
        <f t="shared" si="7"/>
        <v>23572564.453853548</v>
      </c>
      <c r="K45" s="18">
        <f t="shared" si="7"/>
        <v>25481115.338425357</v>
      </c>
      <c r="L45" s="18">
        <f t="shared" si="7"/>
        <v>25944074.559565429</v>
      </c>
      <c r="M45" s="18">
        <f t="shared" si="7"/>
        <v>27015579.937475156</v>
      </c>
      <c r="N45" s="18">
        <f t="shared" si="7"/>
        <v>27126390.388275262</v>
      </c>
    </row>
    <row r="46" spans="1:14">
      <c r="A46" s="11" t="s">
        <v>62</v>
      </c>
      <c r="B46" s="11" t="s">
        <v>41</v>
      </c>
      <c r="C46" s="18">
        <f t="shared" ref="C46:N46" si="8">C44*C9</f>
        <v>2160000</v>
      </c>
      <c r="D46" s="18">
        <f t="shared" si="8"/>
        <v>7677007.95096</v>
      </c>
      <c r="E46" s="18">
        <f t="shared" si="8"/>
        <v>16347390.793311179</v>
      </c>
      <c r="F46" s="18">
        <f t="shared" si="8"/>
        <v>27621424.80720244</v>
      </c>
      <c r="G46" s="18">
        <f t="shared" si="8"/>
        <v>41428829.854897939</v>
      </c>
      <c r="H46" s="18">
        <f t="shared" si="8"/>
        <v>52735303.891790628</v>
      </c>
      <c r="I46" s="18">
        <f t="shared" si="8"/>
        <v>63137756.184235498</v>
      </c>
      <c r="J46" s="18">
        <f t="shared" si="8"/>
        <v>68623404.725254774</v>
      </c>
      <c r="K46" s="18">
        <f t="shared" si="8"/>
        <v>75187739.992090195</v>
      </c>
      <c r="L46" s="18">
        <f t="shared" si="8"/>
        <v>77137784.846986175</v>
      </c>
      <c r="M46" s="18">
        <f t="shared" si="8"/>
        <v>80708485.392496139</v>
      </c>
      <c r="N46" s="18">
        <f t="shared" si="8"/>
        <v>81212955.488625631</v>
      </c>
    </row>
    <row r="47" spans="1:14">
      <c r="A47" s="11" t="s">
        <v>63</v>
      </c>
      <c r="B47" s="11" t="s">
        <v>41</v>
      </c>
      <c r="C47" s="18">
        <f t="shared" ref="C47:N47" si="9">C40*C15</f>
        <v>2160000</v>
      </c>
      <c r="D47" s="18">
        <f t="shared" si="9"/>
        <v>3600000</v>
      </c>
      <c r="E47" s="18">
        <f t="shared" si="9"/>
        <v>5520000</v>
      </c>
      <c r="F47" s="18">
        <f t="shared" si="9"/>
        <v>7200000</v>
      </c>
      <c r="G47" s="18">
        <f t="shared" si="9"/>
        <v>7680000</v>
      </c>
      <c r="H47" s="18">
        <f t="shared" si="9"/>
        <v>6960000</v>
      </c>
      <c r="I47" s="18">
        <f t="shared" si="9"/>
        <v>5760000</v>
      </c>
      <c r="J47" s="18">
        <f t="shared" si="9"/>
        <v>4800000</v>
      </c>
      <c r="K47" s="18">
        <f t="shared" si="9"/>
        <v>4080000</v>
      </c>
      <c r="L47" s="18">
        <f t="shared" si="9"/>
        <v>3600000</v>
      </c>
      <c r="M47" s="18">
        <f t="shared" si="9"/>
        <v>3240000</v>
      </c>
      <c r="N47" s="18">
        <f t="shared" si="9"/>
        <v>3120000</v>
      </c>
    </row>
    <row r="48" spans="1:14">
      <c r="A48" s="19" t="s">
        <v>64</v>
      </c>
      <c r="B48" s="19" t="s">
        <v>41</v>
      </c>
      <c r="C48" s="20">
        <f t="shared" ref="C48:N48" si="10">C46+C47</f>
        <v>4320000</v>
      </c>
      <c r="D48" s="20">
        <f t="shared" si="10"/>
        <v>11277007.950959999</v>
      </c>
      <c r="E48" s="20">
        <f t="shared" si="10"/>
        <v>21867390.793311179</v>
      </c>
      <c r="F48" s="20">
        <f t="shared" si="10"/>
        <v>34821424.807202443</v>
      </c>
      <c r="G48" s="20">
        <f t="shared" si="10"/>
        <v>49108829.854897939</v>
      </c>
      <c r="H48" s="20">
        <f t="shared" si="10"/>
        <v>59695303.891790628</v>
      </c>
      <c r="I48" s="20">
        <f t="shared" si="10"/>
        <v>68897756.184235498</v>
      </c>
      <c r="J48" s="20">
        <f t="shared" si="10"/>
        <v>73423404.725254774</v>
      </c>
      <c r="K48" s="20">
        <f t="shared" si="10"/>
        <v>79267739.992090195</v>
      </c>
      <c r="L48" s="20">
        <f t="shared" si="10"/>
        <v>80737784.846986175</v>
      </c>
      <c r="M48" s="20">
        <f t="shared" si="10"/>
        <v>83948485.392496139</v>
      </c>
      <c r="N48" s="20">
        <f t="shared" si="10"/>
        <v>84332955.488625631</v>
      </c>
    </row>
    <row r="49" spans="1:14">
      <c r="A49" s="11" t="s">
        <v>65</v>
      </c>
      <c r="B49" s="11" t="s">
        <v>22</v>
      </c>
      <c r="C49" s="17" t="str">
        <f>""</f>
        <v/>
      </c>
      <c r="D49" s="17">
        <f t="shared" ref="D49:N49" si="11">D48/C48-1</f>
        <v>1.6104185071666666</v>
      </c>
      <c r="E49" s="17">
        <f t="shared" si="11"/>
        <v>0.93911282925446837</v>
      </c>
      <c r="F49" s="17">
        <f t="shared" si="11"/>
        <v>0.59239047476362194</v>
      </c>
      <c r="G49" s="17">
        <f t="shared" si="11"/>
        <v>0.41030500982660234</v>
      </c>
      <c r="H49" s="17">
        <f t="shared" si="11"/>
        <v>0.21557170203754783</v>
      </c>
      <c r="I49" s="17">
        <f t="shared" si="11"/>
        <v>0.15415705578995142</v>
      </c>
      <c r="J49" s="17">
        <f t="shared" si="11"/>
        <v>6.568644309573024E-2</v>
      </c>
      <c r="K49" s="17">
        <f t="shared" si="11"/>
        <v>7.9597715315770312E-2</v>
      </c>
      <c r="L49" s="17">
        <f t="shared" si="11"/>
        <v>1.8545310551842054E-2</v>
      </c>
      <c r="M49" s="17">
        <f t="shared" si="11"/>
        <v>3.976701307318331E-2</v>
      </c>
      <c r="N49" s="17">
        <f t="shared" si="11"/>
        <v>4.5798336245368443E-3</v>
      </c>
    </row>
    <row r="50" spans="1:14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2" customHeight="1">
      <c r="A52" s="43" t="s">
        <v>66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4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>
      <c r="A54" s="11" t="s">
        <v>19</v>
      </c>
      <c r="B54" s="11" t="s">
        <v>20</v>
      </c>
      <c r="C54" s="21">
        <f t="shared" ref="C54:N54" si="12">C9</f>
        <v>80000</v>
      </c>
      <c r="D54" s="21">
        <f t="shared" si="12"/>
        <v>80000</v>
      </c>
      <c r="E54" s="21">
        <f t="shared" si="12"/>
        <v>82000</v>
      </c>
      <c r="F54" s="21">
        <f t="shared" si="12"/>
        <v>82000</v>
      </c>
      <c r="G54" s="21">
        <f t="shared" si="12"/>
        <v>85000</v>
      </c>
      <c r="H54" s="21">
        <f t="shared" si="12"/>
        <v>85000</v>
      </c>
      <c r="I54" s="21">
        <f t="shared" si="12"/>
        <v>88000</v>
      </c>
      <c r="J54" s="21">
        <f t="shared" si="12"/>
        <v>88000</v>
      </c>
      <c r="K54" s="21">
        <f t="shared" si="12"/>
        <v>92000</v>
      </c>
      <c r="L54" s="21">
        <f t="shared" si="12"/>
        <v>92000</v>
      </c>
      <c r="M54" s="21">
        <f t="shared" si="12"/>
        <v>95000</v>
      </c>
      <c r="N54" s="21">
        <f t="shared" si="12"/>
        <v>95000</v>
      </c>
    </row>
    <row r="55" spans="1:14">
      <c r="A55" s="11" t="s">
        <v>67</v>
      </c>
      <c r="B55" s="11" t="s">
        <v>24</v>
      </c>
      <c r="C55" s="21">
        <f t="shared" ref="C55:N55" si="13">C11</f>
        <v>560000</v>
      </c>
      <c r="D55" s="21">
        <f t="shared" si="13"/>
        <v>550000</v>
      </c>
      <c r="E55" s="21">
        <f t="shared" si="13"/>
        <v>540000</v>
      </c>
      <c r="F55" s="21">
        <f t="shared" si="13"/>
        <v>530000</v>
      </c>
      <c r="G55" s="21">
        <f t="shared" si="13"/>
        <v>520000</v>
      </c>
      <c r="H55" s="21">
        <f t="shared" si="13"/>
        <v>510000</v>
      </c>
      <c r="I55" s="21">
        <f t="shared" si="13"/>
        <v>500000</v>
      </c>
      <c r="J55" s="21">
        <f t="shared" si="13"/>
        <v>495000</v>
      </c>
      <c r="K55" s="21">
        <f t="shared" si="13"/>
        <v>490000</v>
      </c>
      <c r="L55" s="21">
        <f t="shared" si="13"/>
        <v>485000</v>
      </c>
      <c r="M55" s="21">
        <f t="shared" si="13"/>
        <v>480000</v>
      </c>
      <c r="N55" s="21">
        <f t="shared" si="13"/>
        <v>475000</v>
      </c>
    </row>
    <row r="56" spans="1:14">
      <c r="A56" s="11" t="s">
        <v>25</v>
      </c>
      <c r="B56" s="11" t="s">
        <v>26</v>
      </c>
      <c r="C56" s="21">
        <f t="shared" ref="C56:N56" si="14">C12</f>
        <v>4200</v>
      </c>
      <c r="D56" s="21">
        <f t="shared" si="14"/>
        <v>4000</v>
      </c>
      <c r="E56" s="21">
        <f t="shared" si="14"/>
        <v>3800</v>
      </c>
      <c r="F56" s="21">
        <f t="shared" si="14"/>
        <v>3600</v>
      </c>
      <c r="G56" s="21">
        <f t="shared" si="14"/>
        <v>3400</v>
      </c>
      <c r="H56" s="21">
        <f t="shared" si="14"/>
        <v>3200</v>
      </c>
      <c r="I56" s="21">
        <f t="shared" si="14"/>
        <v>3000</v>
      </c>
      <c r="J56" s="21">
        <f t="shared" si="14"/>
        <v>2800</v>
      </c>
      <c r="K56" s="21">
        <f t="shared" si="14"/>
        <v>2650</v>
      </c>
      <c r="L56" s="21">
        <f t="shared" si="14"/>
        <v>2500</v>
      </c>
      <c r="M56" s="21">
        <f t="shared" si="14"/>
        <v>2350</v>
      </c>
      <c r="N56" s="21">
        <f t="shared" si="14"/>
        <v>2200</v>
      </c>
    </row>
    <row r="57" spans="1:14">
      <c r="A57" s="11" t="s">
        <v>27</v>
      </c>
      <c r="B57" s="11" t="s">
        <v>26</v>
      </c>
      <c r="C57" s="21">
        <f t="shared" ref="C57:N57" si="15">C13</f>
        <v>8000</v>
      </c>
      <c r="D57" s="21">
        <f t="shared" si="15"/>
        <v>7800</v>
      </c>
      <c r="E57" s="21">
        <f t="shared" si="15"/>
        <v>7600</v>
      </c>
      <c r="F57" s="21">
        <f t="shared" si="15"/>
        <v>7400</v>
      </c>
      <c r="G57" s="21">
        <f t="shared" si="15"/>
        <v>7200</v>
      </c>
      <c r="H57" s="21">
        <f t="shared" si="15"/>
        <v>7000</v>
      </c>
      <c r="I57" s="21">
        <f t="shared" si="15"/>
        <v>6800</v>
      </c>
      <c r="J57" s="21">
        <f t="shared" si="15"/>
        <v>6600</v>
      </c>
      <c r="K57" s="21">
        <f t="shared" si="15"/>
        <v>6400</v>
      </c>
      <c r="L57" s="21">
        <f t="shared" si="15"/>
        <v>6200</v>
      </c>
      <c r="M57" s="21">
        <f t="shared" si="15"/>
        <v>6000</v>
      </c>
      <c r="N57" s="21">
        <f t="shared" si="15"/>
        <v>5800</v>
      </c>
    </row>
    <row r="58" spans="1:14">
      <c r="A58" s="11" t="s">
        <v>28</v>
      </c>
      <c r="B58" s="11" t="s">
        <v>26</v>
      </c>
      <c r="C58" s="21">
        <f t="shared" ref="C58:N58" si="16">C14</f>
        <v>5500</v>
      </c>
      <c r="D58" s="21">
        <f t="shared" si="16"/>
        <v>5300</v>
      </c>
      <c r="E58" s="21">
        <f t="shared" si="16"/>
        <v>5100</v>
      </c>
      <c r="F58" s="21">
        <f t="shared" si="16"/>
        <v>4900</v>
      </c>
      <c r="G58" s="21">
        <f t="shared" si="16"/>
        <v>4700</v>
      </c>
      <c r="H58" s="21">
        <f t="shared" si="16"/>
        <v>4500</v>
      </c>
      <c r="I58" s="21">
        <f t="shared" si="16"/>
        <v>4300</v>
      </c>
      <c r="J58" s="21">
        <f t="shared" si="16"/>
        <v>4100</v>
      </c>
      <c r="K58" s="21">
        <f t="shared" si="16"/>
        <v>3900</v>
      </c>
      <c r="L58" s="21">
        <f t="shared" si="16"/>
        <v>3700</v>
      </c>
      <c r="M58" s="21">
        <f t="shared" si="16"/>
        <v>3400</v>
      </c>
      <c r="N58" s="21">
        <f t="shared" si="16"/>
        <v>3200</v>
      </c>
    </row>
    <row r="59" spans="1:14">
      <c r="A59" s="22" t="s">
        <v>68</v>
      </c>
      <c r="B59" s="22" t="s">
        <v>20</v>
      </c>
      <c r="C59" s="23">
        <f t="shared" ref="C59:N59" si="17">C54-SUM(C56:C58)</f>
        <v>62300</v>
      </c>
      <c r="D59" s="23">
        <f t="shared" si="17"/>
        <v>62900</v>
      </c>
      <c r="E59" s="23">
        <f t="shared" si="17"/>
        <v>65500</v>
      </c>
      <c r="F59" s="23">
        <f t="shared" si="17"/>
        <v>66100</v>
      </c>
      <c r="G59" s="23">
        <f t="shared" si="17"/>
        <v>69700</v>
      </c>
      <c r="H59" s="23">
        <f t="shared" si="17"/>
        <v>70300</v>
      </c>
      <c r="I59" s="23">
        <f t="shared" si="17"/>
        <v>73900</v>
      </c>
      <c r="J59" s="23">
        <f t="shared" si="17"/>
        <v>74500</v>
      </c>
      <c r="K59" s="23">
        <f t="shared" si="17"/>
        <v>79050</v>
      </c>
      <c r="L59" s="23">
        <f t="shared" si="17"/>
        <v>79600</v>
      </c>
      <c r="M59" s="23">
        <f t="shared" si="17"/>
        <v>83250</v>
      </c>
      <c r="N59" s="23">
        <f t="shared" si="17"/>
        <v>83800</v>
      </c>
    </row>
    <row r="60" spans="1:14">
      <c r="A60" s="22" t="s">
        <v>69</v>
      </c>
      <c r="B60" s="22" t="s">
        <v>22</v>
      </c>
      <c r="C60" s="24">
        <f t="shared" ref="C60:N60" si="18">C59/C54</f>
        <v>0.77875000000000005</v>
      </c>
      <c r="D60" s="24">
        <f t="shared" si="18"/>
        <v>0.78625</v>
      </c>
      <c r="E60" s="24">
        <f t="shared" si="18"/>
        <v>0.79878048780487809</v>
      </c>
      <c r="F60" s="24">
        <f t="shared" si="18"/>
        <v>0.80609756097560981</v>
      </c>
      <c r="G60" s="24">
        <f t="shared" si="18"/>
        <v>0.82</v>
      </c>
      <c r="H60" s="24">
        <f t="shared" si="18"/>
        <v>0.82705882352941174</v>
      </c>
      <c r="I60" s="24">
        <f t="shared" si="18"/>
        <v>0.83977272727272723</v>
      </c>
      <c r="J60" s="24">
        <f t="shared" si="18"/>
        <v>0.84659090909090906</v>
      </c>
      <c r="K60" s="24">
        <f t="shared" si="18"/>
        <v>0.85923913043478262</v>
      </c>
      <c r="L60" s="24">
        <f t="shared" si="18"/>
        <v>0.86521739130434783</v>
      </c>
      <c r="M60" s="24">
        <f t="shared" si="18"/>
        <v>0.87631578947368416</v>
      </c>
      <c r="N60" s="24">
        <f t="shared" si="18"/>
        <v>0.88210526315789473</v>
      </c>
    </row>
    <row r="61" spans="1:14">
      <c r="A61" s="11" t="s">
        <v>21</v>
      </c>
      <c r="B61" s="11" t="s">
        <v>22</v>
      </c>
      <c r="C61" s="17">
        <f t="shared" ref="C61:N61" si="19">C10</f>
        <v>0.04</v>
      </c>
      <c r="D61" s="17">
        <f t="shared" si="19"/>
        <v>3.9E-2</v>
      </c>
      <c r="E61" s="17">
        <f t="shared" si="19"/>
        <v>3.7999999999999999E-2</v>
      </c>
      <c r="F61" s="17">
        <f t="shared" si="19"/>
        <v>3.6999999999999998E-2</v>
      </c>
      <c r="G61" s="17">
        <f t="shared" si="19"/>
        <v>3.5999999999999997E-2</v>
      </c>
      <c r="H61" s="17">
        <f t="shared" si="19"/>
        <v>3.5000000000000003E-2</v>
      </c>
      <c r="I61" s="17">
        <f t="shared" si="19"/>
        <v>3.4000000000000002E-2</v>
      </c>
      <c r="J61" s="17">
        <f t="shared" si="19"/>
        <v>3.3000000000000002E-2</v>
      </c>
      <c r="K61" s="17">
        <f t="shared" si="19"/>
        <v>3.2000000000000001E-2</v>
      </c>
      <c r="L61" s="17">
        <f t="shared" si="19"/>
        <v>3.1E-2</v>
      </c>
      <c r="M61" s="17">
        <f t="shared" si="19"/>
        <v>0.03</v>
      </c>
      <c r="N61" s="17">
        <f t="shared" si="19"/>
        <v>0.03</v>
      </c>
    </row>
    <row r="62" spans="1:14">
      <c r="A62" s="11" t="s">
        <v>70</v>
      </c>
      <c r="B62" s="11" t="s">
        <v>52</v>
      </c>
      <c r="C62" s="16">
        <f t="shared" ref="C62:N62" si="20">1/C61</f>
        <v>25</v>
      </c>
      <c r="D62" s="16">
        <f t="shared" si="20"/>
        <v>25.641025641025642</v>
      </c>
      <c r="E62" s="16">
        <f t="shared" si="20"/>
        <v>26.315789473684212</v>
      </c>
      <c r="F62" s="16">
        <f t="shared" si="20"/>
        <v>27.027027027027028</v>
      </c>
      <c r="G62" s="16">
        <f t="shared" si="20"/>
        <v>27.777777777777779</v>
      </c>
      <c r="H62" s="16">
        <f t="shared" si="20"/>
        <v>28.571428571428569</v>
      </c>
      <c r="I62" s="16">
        <f t="shared" si="20"/>
        <v>29.411764705882351</v>
      </c>
      <c r="J62" s="16">
        <f t="shared" si="20"/>
        <v>30.303030303030301</v>
      </c>
      <c r="K62" s="16">
        <f t="shared" si="20"/>
        <v>31.25</v>
      </c>
      <c r="L62" s="16">
        <f t="shared" si="20"/>
        <v>32.258064516129032</v>
      </c>
      <c r="M62" s="16">
        <f t="shared" si="20"/>
        <v>33.333333333333336</v>
      </c>
      <c r="N62" s="16">
        <f t="shared" si="20"/>
        <v>33.333333333333336</v>
      </c>
    </row>
    <row r="63" spans="1:14">
      <c r="A63" s="22" t="s">
        <v>71</v>
      </c>
      <c r="B63" s="22" t="s">
        <v>72</v>
      </c>
      <c r="C63" s="25">
        <f t="shared" ref="C63:N63" si="21">C59*C62/C55</f>
        <v>2.78125</v>
      </c>
      <c r="D63" s="25">
        <f t="shared" si="21"/>
        <v>2.9324009324009328</v>
      </c>
      <c r="E63" s="25">
        <f t="shared" si="21"/>
        <v>3.1920077972709553</v>
      </c>
      <c r="F63" s="25">
        <f t="shared" si="21"/>
        <v>3.3707292197858236</v>
      </c>
      <c r="G63" s="25">
        <f t="shared" si="21"/>
        <v>3.7232905982905984</v>
      </c>
      <c r="H63" s="25">
        <f t="shared" si="21"/>
        <v>3.9383753501400558</v>
      </c>
      <c r="I63" s="25">
        <f t="shared" si="21"/>
        <v>4.3470588235294114</v>
      </c>
      <c r="J63" s="25">
        <f t="shared" si="21"/>
        <v>4.5607591062136512</v>
      </c>
      <c r="K63" s="25">
        <f t="shared" si="21"/>
        <v>5.0414540816326534</v>
      </c>
      <c r="L63" s="25">
        <f t="shared" si="21"/>
        <v>5.2943132690389092</v>
      </c>
      <c r="M63" s="25">
        <f t="shared" si="21"/>
        <v>5.78125</v>
      </c>
      <c r="N63" s="25">
        <f t="shared" si="21"/>
        <v>5.8807017543859654</v>
      </c>
    </row>
    <row r="64" spans="1:14">
      <c r="A64" s="22" t="s">
        <v>73</v>
      </c>
      <c r="B64" s="22" t="s">
        <v>52</v>
      </c>
      <c r="C64" s="26">
        <f t="shared" ref="C64:N64" si="22">C55/C59</f>
        <v>8.9887640449438209</v>
      </c>
      <c r="D64" s="26">
        <f t="shared" si="22"/>
        <v>8.7440381558028619</v>
      </c>
      <c r="E64" s="26">
        <f t="shared" si="22"/>
        <v>8.2442748091603058</v>
      </c>
      <c r="F64" s="26">
        <f t="shared" si="22"/>
        <v>8.0181543116490168</v>
      </c>
      <c r="G64" s="26">
        <f t="shared" si="22"/>
        <v>7.4605451936872313</v>
      </c>
      <c r="H64" s="26">
        <f t="shared" si="22"/>
        <v>7.2546230440967285</v>
      </c>
      <c r="I64" s="26">
        <f t="shared" si="22"/>
        <v>6.7658998646820026</v>
      </c>
      <c r="J64" s="26">
        <f t="shared" si="22"/>
        <v>6.6442953020134228</v>
      </c>
      <c r="K64" s="26">
        <f t="shared" si="22"/>
        <v>6.1986084756483235</v>
      </c>
      <c r="L64" s="26">
        <f t="shared" si="22"/>
        <v>6.0929648241206031</v>
      </c>
      <c r="M64" s="26">
        <f t="shared" si="22"/>
        <v>5.7657657657657655</v>
      </c>
      <c r="N64" s="26">
        <f t="shared" si="22"/>
        <v>5.6682577565632455</v>
      </c>
    </row>
    <row r="65" spans="1:14">
      <c r="A65" s="22" t="s">
        <v>74</v>
      </c>
      <c r="B65" s="22" t="s">
        <v>72</v>
      </c>
      <c r="C65" s="25">
        <f t="shared" ref="C65:N65" si="23">C55/C54</f>
        <v>7</v>
      </c>
      <c r="D65" s="25">
        <f t="shared" si="23"/>
        <v>6.875</v>
      </c>
      <c r="E65" s="25">
        <f t="shared" si="23"/>
        <v>6.5853658536585362</v>
      </c>
      <c r="F65" s="25">
        <f t="shared" si="23"/>
        <v>6.4634146341463419</v>
      </c>
      <c r="G65" s="25">
        <f t="shared" si="23"/>
        <v>6.117647058823529</v>
      </c>
      <c r="H65" s="25">
        <f t="shared" si="23"/>
        <v>6</v>
      </c>
      <c r="I65" s="25">
        <f t="shared" si="23"/>
        <v>5.6818181818181817</v>
      </c>
      <c r="J65" s="25">
        <f t="shared" si="23"/>
        <v>5.625</v>
      </c>
      <c r="K65" s="25">
        <f t="shared" si="23"/>
        <v>5.3260869565217392</v>
      </c>
      <c r="L65" s="25">
        <f t="shared" si="23"/>
        <v>5.2717391304347823</v>
      </c>
      <c r="M65" s="25">
        <f t="shared" si="23"/>
        <v>5.0526315789473681</v>
      </c>
      <c r="N65" s="25">
        <f t="shared" si="23"/>
        <v>5</v>
      </c>
    </row>
    <row r="66" spans="1:14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2" customHeight="1">
      <c r="A68" s="43" t="s">
        <v>75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4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>
      <c r="A70" s="11" t="s">
        <v>76</v>
      </c>
      <c r="B70" s="11" t="s">
        <v>26</v>
      </c>
      <c r="C70" s="21">
        <f t="shared" ref="C70:N70" si="24">C18/C44</f>
        <v>40740.740740740737</v>
      </c>
      <c r="D70" s="21">
        <f t="shared" si="24"/>
        <v>11462.799122019369</v>
      </c>
      <c r="E70" s="21">
        <f t="shared" si="24"/>
        <v>5517.7001113172701</v>
      </c>
      <c r="F70" s="21">
        <f t="shared" si="24"/>
        <v>3265.5809984313282</v>
      </c>
      <c r="G70" s="21">
        <f t="shared" si="24"/>
        <v>4513.7649471384202</v>
      </c>
      <c r="H70" s="21">
        <f t="shared" si="24"/>
        <v>3546.0116127084748</v>
      </c>
      <c r="I70" s="21">
        <f t="shared" si="24"/>
        <v>3066.3110585538811</v>
      </c>
      <c r="J70" s="21">
        <f t="shared" si="24"/>
        <v>2821.1949082839865</v>
      </c>
      <c r="K70" s="21">
        <f t="shared" si="24"/>
        <v>2691.9282321997257</v>
      </c>
      <c r="L70" s="21">
        <f t="shared" si="24"/>
        <v>2623.876228770237</v>
      </c>
      <c r="M70" s="21">
        <f t="shared" si="24"/>
        <v>2589.5666234300534</v>
      </c>
      <c r="N70" s="21">
        <f t="shared" si="24"/>
        <v>2573.48102581086</v>
      </c>
    </row>
    <row r="71" spans="1:14">
      <c r="A71" s="11" t="s">
        <v>77</v>
      </c>
      <c r="B71" s="11" t="s">
        <v>26</v>
      </c>
      <c r="C71" s="27">
        <f>'Profit &amp; Loss'!C21/C44</f>
        <v>86419.753086419762</v>
      </c>
      <c r="D71" s="27">
        <f>'Profit &amp; Loss'!D21/D44</f>
        <v>27788.603932168164</v>
      </c>
      <c r="E71" s="27">
        <f>'Profit &amp; Loss'!E21/E44</f>
        <v>15466.280615055985</v>
      </c>
      <c r="F71" s="27">
        <f>'Profit &amp; Loss'!F21/F44</f>
        <v>10637.877494889934</v>
      </c>
      <c r="G71" s="27">
        <f>'Profit &amp; Loss'!G21/G44</f>
        <v>12139.292092682874</v>
      </c>
      <c r="H71" s="27">
        <f>'Profit &amp; Loss'!H21/H44</f>
        <v>10476.852492093221</v>
      </c>
      <c r="I71" s="27">
        <f>'Profit &amp; Loss'!I21/I44</f>
        <v>9640.296131059551</v>
      </c>
      <c r="J71" s="27">
        <f>'Profit &amp; Loss'!J21/J44</f>
        <v>9297.1195841176814</v>
      </c>
      <c r="K71" s="27">
        <f>'Profit &amp; Loss'!K21/K44</f>
        <v>9278.9950428096599</v>
      </c>
      <c r="L71" s="27">
        <f>'Profit &amp; Loss'!L21/L44</f>
        <v>9441.9788535292628</v>
      </c>
      <c r="M71" s="27">
        <f>'Profit &amp; Loss'!M21/M44</f>
        <v>9710.8748378627006</v>
      </c>
      <c r="N71" s="27">
        <f>'Profit &amp; Loss'!N21/N44</f>
        <v>10040.475214337826</v>
      </c>
    </row>
    <row r="72" spans="1:14">
      <c r="A72" s="11" t="s">
        <v>78</v>
      </c>
      <c r="B72" s="11" t="s">
        <v>20</v>
      </c>
      <c r="C72" s="21">
        <f t="shared" ref="C72:N72" si="25">C59-C70-C71</f>
        <v>-64860.493827160499</v>
      </c>
      <c r="D72" s="21">
        <f t="shared" si="25"/>
        <v>23648.596945812471</v>
      </c>
      <c r="E72" s="21">
        <f t="shared" si="25"/>
        <v>44516.019273626742</v>
      </c>
      <c r="F72" s="21">
        <f t="shared" si="25"/>
        <v>52196.541506678739</v>
      </c>
      <c r="G72" s="21">
        <f t="shared" si="25"/>
        <v>53046.942960178705</v>
      </c>
      <c r="H72" s="21">
        <f t="shared" si="25"/>
        <v>56277.135895198298</v>
      </c>
      <c r="I72" s="21">
        <f t="shared" si="25"/>
        <v>61193.392810386569</v>
      </c>
      <c r="J72" s="21">
        <f t="shared" si="25"/>
        <v>62381.685507598333</v>
      </c>
      <c r="K72" s="21">
        <f t="shared" si="25"/>
        <v>67079.076724990606</v>
      </c>
      <c r="L72" s="21">
        <f t="shared" si="25"/>
        <v>67534.144917700498</v>
      </c>
      <c r="M72" s="21">
        <f t="shared" si="25"/>
        <v>70949.558538707235</v>
      </c>
      <c r="N72" s="21">
        <f t="shared" si="25"/>
        <v>71186.043759851309</v>
      </c>
    </row>
    <row r="73" spans="1:14">
      <c r="A73" s="11" t="s">
        <v>79</v>
      </c>
      <c r="B73" s="11" t="s">
        <v>22</v>
      </c>
      <c r="C73" s="17">
        <f t="shared" ref="C73:N73" si="26">C72/C54</f>
        <v>-0.81075617283950618</v>
      </c>
      <c r="D73" s="17">
        <f t="shared" si="26"/>
        <v>0.2956074618226559</v>
      </c>
      <c r="E73" s="17">
        <f t="shared" si="26"/>
        <v>0.54287828382471637</v>
      </c>
      <c r="F73" s="17">
        <f t="shared" si="26"/>
        <v>0.63654318910583829</v>
      </c>
      <c r="G73" s="17">
        <f t="shared" si="26"/>
        <v>0.62408168188445534</v>
      </c>
      <c r="H73" s="17">
        <f t="shared" si="26"/>
        <v>0.66208395170821532</v>
      </c>
      <c r="I73" s="17">
        <f t="shared" si="26"/>
        <v>0.69537946375439286</v>
      </c>
      <c r="J73" s="17">
        <f t="shared" si="26"/>
        <v>0.70888278985907194</v>
      </c>
      <c r="K73" s="17">
        <f t="shared" si="26"/>
        <v>0.72912039918468052</v>
      </c>
      <c r="L73" s="17">
        <f t="shared" si="26"/>
        <v>0.73406679258370111</v>
      </c>
      <c r="M73" s="17">
        <f t="shared" si="26"/>
        <v>0.7468374583021814</v>
      </c>
      <c r="N73" s="17">
        <f t="shared" si="26"/>
        <v>0.74932677641948742</v>
      </c>
    </row>
  </sheetData>
  <mergeCells count="6">
    <mergeCell ref="A68:N68"/>
    <mergeCell ref="A1:N1"/>
    <mergeCell ref="A2:N2"/>
    <mergeCell ref="A7:N7"/>
    <mergeCell ref="A36:N36"/>
    <mergeCell ref="A52:N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1"/>
  <sheetViews>
    <sheetView showGridLines="0" topLeftCell="A12" zoomScale="133" workbookViewId="0">
      <selection activeCell="E35" sqref="E35"/>
    </sheetView>
  </sheetViews>
  <sheetFormatPr baseColWidth="10" defaultColWidth="8.83203125" defaultRowHeight="15"/>
  <cols>
    <col min="1" max="1" width="39" customWidth="1"/>
    <col min="2" max="2" width="15" customWidth="1"/>
    <col min="3" max="14" width="13" customWidth="1"/>
  </cols>
  <sheetData>
    <row r="1" spans="1:14" ht="32" customHeight="1">
      <c r="A1" s="41" t="s">
        <v>80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0" customHeight="1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4" customHeight="1">
      <c r="A5" s="2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5" t="s">
        <v>15</v>
      </c>
    </row>
    <row r="6" spans="1:1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2" customHeight="1">
      <c r="A7" s="43" t="s">
        <v>82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>
      <c r="A8" s="11" t="s">
        <v>62</v>
      </c>
      <c r="B8" s="11" t="s">
        <v>83</v>
      </c>
      <c r="C8" s="29">
        <f>'Unit Economics'!C46</f>
        <v>2160000</v>
      </c>
      <c r="D8" s="29">
        <f>'Unit Economics'!D46</f>
        <v>7677007.95096</v>
      </c>
      <c r="E8" s="29">
        <f>'Unit Economics'!E46</f>
        <v>16347390.793311179</v>
      </c>
      <c r="F8" s="29">
        <f>'Unit Economics'!F46</f>
        <v>27621424.80720244</v>
      </c>
      <c r="G8" s="29">
        <f>'Unit Economics'!G46</f>
        <v>41428829.854897939</v>
      </c>
      <c r="H8" s="29">
        <f>'Unit Economics'!H46</f>
        <v>52735303.891790628</v>
      </c>
      <c r="I8" s="29">
        <f>'Unit Economics'!I46</f>
        <v>63137756.184235498</v>
      </c>
      <c r="J8" s="29">
        <f>'Unit Economics'!J46</f>
        <v>68623404.725254774</v>
      </c>
      <c r="K8" s="29">
        <f>'Unit Economics'!K46</f>
        <v>75187739.992090195</v>
      </c>
      <c r="L8" s="29">
        <f>'Unit Economics'!L46</f>
        <v>77137784.846986175</v>
      </c>
      <c r="M8" s="29">
        <f>'Unit Economics'!M46</f>
        <v>80708485.392496139</v>
      </c>
      <c r="N8" s="29">
        <f>'Unit Economics'!N46</f>
        <v>81212955.488625631</v>
      </c>
    </row>
    <row r="9" spans="1:14">
      <c r="A9" s="11" t="s">
        <v>63</v>
      </c>
      <c r="B9" s="11" t="s">
        <v>83</v>
      </c>
      <c r="C9" s="29">
        <f>'Unit Economics'!C47</f>
        <v>2160000</v>
      </c>
      <c r="D9" s="29">
        <f>'Unit Economics'!D47</f>
        <v>3600000</v>
      </c>
      <c r="E9" s="29">
        <f>'Unit Economics'!E47</f>
        <v>5520000</v>
      </c>
      <c r="F9" s="29">
        <f>'Unit Economics'!F47</f>
        <v>7200000</v>
      </c>
      <c r="G9" s="29">
        <f>'Unit Economics'!G47</f>
        <v>7680000</v>
      </c>
      <c r="H9" s="29">
        <f>'Unit Economics'!H47</f>
        <v>6960000</v>
      </c>
      <c r="I9" s="29">
        <f>'Unit Economics'!I47</f>
        <v>5760000</v>
      </c>
      <c r="J9" s="29">
        <f>'Unit Economics'!J47</f>
        <v>4800000</v>
      </c>
      <c r="K9" s="29">
        <f>'Unit Economics'!K47</f>
        <v>4080000</v>
      </c>
      <c r="L9" s="29">
        <f>'Unit Economics'!L47</f>
        <v>3600000</v>
      </c>
      <c r="M9" s="29">
        <f>'Unit Economics'!M47</f>
        <v>3240000</v>
      </c>
      <c r="N9" s="29">
        <f>'Unit Economics'!N47</f>
        <v>3120000</v>
      </c>
    </row>
    <row r="10" spans="1:14">
      <c r="A10" s="19" t="s">
        <v>84</v>
      </c>
      <c r="B10" s="19" t="s">
        <v>83</v>
      </c>
      <c r="C10" s="20">
        <f t="shared" ref="C10:N10" si="0">SUM(C8:C9)</f>
        <v>4320000</v>
      </c>
      <c r="D10" s="20">
        <f t="shared" si="0"/>
        <v>11277007.950959999</v>
      </c>
      <c r="E10" s="20">
        <f t="shared" si="0"/>
        <v>21867390.793311179</v>
      </c>
      <c r="F10" s="20">
        <f t="shared" si="0"/>
        <v>34821424.807202443</v>
      </c>
      <c r="G10" s="20">
        <f t="shared" si="0"/>
        <v>49108829.854897939</v>
      </c>
      <c r="H10" s="20">
        <f t="shared" si="0"/>
        <v>59695303.891790628</v>
      </c>
      <c r="I10" s="20">
        <f t="shared" si="0"/>
        <v>68897756.184235498</v>
      </c>
      <c r="J10" s="20">
        <f t="shared" si="0"/>
        <v>73423404.725254774</v>
      </c>
      <c r="K10" s="20">
        <f t="shared" si="0"/>
        <v>79267739.992090195</v>
      </c>
      <c r="L10" s="20">
        <f t="shared" si="0"/>
        <v>80737784.846986175</v>
      </c>
      <c r="M10" s="20">
        <f t="shared" si="0"/>
        <v>83948485.392496139</v>
      </c>
      <c r="N10" s="20">
        <f t="shared" si="0"/>
        <v>84332955.488625631</v>
      </c>
    </row>
    <row r="11" spans="1:14">
      <c r="A11" s="11" t="s">
        <v>85</v>
      </c>
      <c r="B11" s="11" t="s">
        <v>83</v>
      </c>
      <c r="C11" s="29">
        <f>'Unit Economics'!C44*'Unit Economics'!C12</f>
        <v>113400</v>
      </c>
      <c r="D11" s="29">
        <f>'Unit Economics'!D44*'Unit Economics'!D12</f>
        <v>383850.39754799998</v>
      </c>
      <c r="E11" s="29">
        <f>'Unit Economics'!E44*'Unit Economics'!E12</f>
        <v>757562.01237295708</v>
      </c>
      <c r="F11" s="29">
        <f>'Unit Economics'!F44*'Unit Economics'!F12</f>
        <v>1212647.9183649851</v>
      </c>
      <c r="G11" s="29">
        <f>'Unit Economics'!G44*'Unit Economics'!G12</f>
        <v>1657153.1941959173</v>
      </c>
      <c r="H11" s="29">
        <f>'Unit Economics'!H44*'Unit Economics'!H12</f>
        <v>1985329.0876909413</v>
      </c>
      <c r="I11" s="29">
        <f>'Unit Economics'!I44*'Unit Economics'!I12</f>
        <v>2152423.5062807556</v>
      </c>
      <c r="J11" s="29">
        <f>'Unit Economics'!J44*'Unit Economics'!J12</f>
        <v>2183471.9685308337</v>
      </c>
      <c r="K11" s="29">
        <f>'Unit Economics'!K44*'Unit Economics'!K12</f>
        <v>2165733.8149895547</v>
      </c>
      <c r="L11" s="29">
        <f>'Unit Economics'!L44*'Unit Economics'!L12</f>
        <v>2096135.4577985373</v>
      </c>
      <c r="M11" s="29">
        <f>'Unit Economics'!M44*'Unit Economics'!M12</f>
        <v>1996473.059709115</v>
      </c>
      <c r="N11" s="29">
        <f>'Unit Economics'!N44*'Unit Economics'!N12</f>
        <v>1880721.0744734355</v>
      </c>
    </row>
    <row r="12" spans="1:14">
      <c r="A12" s="11" t="s">
        <v>27</v>
      </c>
      <c r="B12" s="11" t="s">
        <v>83</v>
      </c>
      <c r="C12" s="29">
        <f>'Unit Economics'!C44*'Unit Economics'!C13</f>
        <v>216000</v>
      </c>
      <c r="D12" s="29">
        <f>'Unit Economics'!D44*'Unit Economics'!D13</f>
        <v>748508.27521859994</v>
      </c>
      <c r="E12" s="29">
        <f>'Unit Economics'!E44*'Unit Economics'!E13</f>
        <v>1515124.0247459142</v>
      </c>
      <c r="F12" s="29">
        <f>'Unit Economics'!F44*'Unit Economics'!F13</f>
        <v>2492665.165528025</v>
      </c>
      <c r="G12" s="29">
        <f>'Unit Economics'!G44*'Unit Economics'!G13</f>
        <v>3509265.5877090017</v>
      </c>
      <c r="H12" s="29">
        <f>'Unit Economics'!H44*'Unit Economics'!H13</f>
        <v>4342907.3793239342</v>
      </c>
      <c r="I12" s="29">
        <f>'Unit Economics'!I44*'Unit Economics'!I13</f>
        <v>4878826.614236379</v>
      </c>
      <c r="J12" s="29">
        <f>'Unit Economics'!J44*'Unit Economics'!J13</f>
        <v>5146755.3543941081</v>
      </c>
      <c r="K12" s="29">
        <f>'Unit Economics'!K44*'Unit Economics'!K13</f>
        <v>5230451.4777106224</v>
      </c>
      <c r="L12" s="29">
        <f>'Unit Economics'!L44*'Unit Economics'!L13</f>
        <v>5198415.9353403719</v>
      </c>
      <c r="M12" s="29">
        <f>'Unit Economics'!M44*'Unit Economics'!M13</f>
        <v>5097378.02478923</v>
      </c>
      <c r="N12" s="29">
        <f>'Unit Economics'!N44*'Unit Economics'!N13</f>
        <v>4958264.6508845119</v>
      </c>
    </row>
    <row r="13" spans="1:14">
      <c r="A13" s="11" t="s">
        <v>86</v>
      </c>
      <c r="B13" s="11" t="s">
        <v>83</v>
      </c>
      <c r="C13" s="29">
        <f>'Unit Economics'!C40*'Unit Economics'!C16</f>
        <v>1260000</v>
      </c>
      <c r="D13" s="29">
        <f>'Unit Economics'!D40*'Unit Economics'!D16</f>
        <v>2100000</v>
      </c>
      <c r="E13" s="29">
        <f>'Unit Economics'!E40*'Unit Economics'!E16</f>
        <v>3220000</v>
      </c>
      <c r="F13" s="29">
        <f>'Unit Economics'!F40*'Unit Economics'!F16</f>
        <v>4200000</v>
      </c>
      <c r="G13" s="29">
        <f>'Unit Economics'!G40*'Unit Economics'!G16</f>
        <v>4480000</v>
      </c>
      <c r="H13" s="29">
        <f>'Unit Economics'!H40*'Unit Economics'!H16</f>
        <v>4060000</v>
      </c>
      <c r="I13" s="29">
        <f>'Unit Economics'!I40*'Unit Economics'!I16</f>
        <v>3360000</v>
      </c>
      <c r="J13" s="29">
        <f>'Unit Economics'!J40*'Unit Economics'!J16</f>
        <v>2800000</v>
      </c>
      <c r="K13" s="29">
        <f>'Unit Economics'!K40*'Unit Economics'!K16</f>
        <v>2380000</v>
      </c>
      <c r="L13" s="29">
        <f>'Unit Economics'!L40*'Unit Economics'!L16</f>
        <v>2100000</v>
      </c>
      <c r="M13" s="29">
        <f>'Unit Economics'!M40*'Unit Economics'!M16</f>
        <v>1890000</v>
      </c>
      <c r="N13" s="29">
        <f>'Unit Economics'!N40*'Unit Economics'!N16</f>
        <v>1820000</v>
      </c>
    </row>
    <row r="14" spans="1:14">
      <c r="A14" s="11" t="s">
        <v>33</v>
      </c>
      <c r="B14" s="11" t="s">
        <v>83</v>
      </c>
      <c r="C14" s="29">
        <f>'Unit Economics'!C18</f>
        <v>1100000</v>
      </c>
      <c r="D14" s="29">
        <f>'Unit Economics'!D18</f>
        <v>1100000</v>
      </c>
      <c r="E14" s="29">
        <f>'Unit Economics'!E18</f>
        <v>1100000</v>
      </c>
      <c r="F14" s="29">
        <f>'Unit Economics'!F18</f>
        <v>1100000</v>
      </c>
      <c r="G14" s="29">
        <f>'Unit Economics'!G18</f>
        <v>2200000</v>
      </c>
      <c r="H14" s="29">
        <f>'Unit Economics'!H18</f>
        <v>2200000</v>
      </c>
      <c r="I14" s="29">
        <f>'Unit Economics'!I18</f>
        <v>2200000</v>
      </c>
      <c r="J14" s="29">
        <f>'Unit Economics'!J18</f>
        <v>2200000</v>
      </c>
      <c r="K14" s="29">
        <f>'Unit Economics'!K18</f>
        <v>2200000</v>
      </c>
      <c r="L14" s="29">
        <f>'Unit Economics'!L18</f>
        <v>2200000</v>
      </c>
      <c r="M14" s="29">
        <f>'Unit Economics'!M18</f>
        <v>2200000</v>
      </c>
      <c r="N14" s="29">
        <f>'Unit Economics'!N18</f>
        <v>2200000</v>
      </c>
    </row>
    <row r="15" spans="1:14">
      <c r="A15" s="19" t="s">
        <v>87</v>
      </c>
      <c r="B15" s="19" t="s">
        <v>83</v>
      </c>
      <c r="C15" s="20">
        <f t="shared" ref="C15:N15" si="1">C10-SUM(C11:C14)</f>
        <v>1630600</v>
      </c>
      <c r="D15" s="20">
        <f t="shared" si="1"/>
        <v>6944649.2781933993</v>
      </c>
      <c r="E15" s="20">
        <f t="shared" si="1"/>
        <v>15274704.756192308</v>
      </c>
      <c r="F15" s="20">
        <f t="shared" si="1"/>
        <v>25816111.723309435</v>
      </c>
      <c r="G15" s="20">
        <f t="shared" si="1"/>
        <v>37262411.072993018</v>
      </c>
      <c r="H15" s="20">
        <f t="shared" si="1"/>
        <v>47107067.424775749</v>
      </c>
      <c r="I15" s="20">
        <f t="shared" si="1"/>
        <v>56306506.063718364</v>
      </c>
      <c r="J15" s="20">
        <f t="shared" si="1"/>
        <v>61093177.402329832</v>
      </c>
      <c r="K15" s="20">
        <f t="shared" si="1"/>
        <v>67291554.699390024</v>
      </c>
      <c r="L15" s="20">
        <f t="shared" si="1"/>
        <v>69143233.453847259</v>
      </c>
      <c r="M15" s="20">
        <f t="shared" si="1"/>
        <v>72764634.307997793</v>
      </c>
      <c r="N15" s="20">
        <f t="shared" si="1"/>
        <v>73473969.763267681</v>
      </c>
    </row>
    <row r="16" spans="1:14">
      <c r="A16" s="19" t="s">
        <v>88</v>
      </c>
      <c r="B16" s="19" t="s">
        <v>22</v>
      </c>
      <c r="C16" s="30">
        <f t="shared" ref="C16:N16" si="2">C15/C10</f>
        <v>0.37745370370370368</v>
      </c>
      <c r="D16" s="30">
        <f t="shared" si="2"/>
        <v>0.61582374583696287</v>
      </c>
      <c r="E16" s="30">
        <f t="shared" si="2"/>
        <v>0.6985151955515676</v>
      </c>
      <c r="F16" s="30">
        <f t="shared" si="2"/>
        <v>0.7413858527112781</v>
      </c>
      <c r="G16" s="30">
        <f t="shared" si="2"/>
        <v>0.75877212271382599</v>
      </c>
      <c r="H16" s="30">
        <f t="shared" si="2"/>
        <v>0.7891251799331902</v>
      </c>
      <c r="I16" s="30">
        <f t="shared" si="2"/>
        <v>0.81724731228042313</v>
      </c>
      <c r="J16" s="30">
        <f t="shared" si="2"/>
        <v>0.83206679982951226</v>
      </c>
      <c r="K16" s="30">
        <f t="shared" si="2"/>
        <v>0.84891476287963774</v>
      </c>
      <c r="L16" s="30">
        <f t="shared" si="2"/>
        <v>0.8563925005483759</v>
      </c>
      <c r="M16" s="30">
        <f t="shared" si="2"/>
        <v>0.86677721423788745</v>
      </c>
      <c r="N16" s="30">
        <f t="shared" si="2"/>
        <v>0.87123674650744865</v>
      </c>
    </row>
    <row r="17" spans="1:14">
      <c r="A17" s="11" t="s">
        <v>89</v>
      </c>
      <c r="B17" s="11" t="s">
        <v>83</v>
      </c>
      <c r="C17" s="29">
        <f>'Unit Economics'!C40*'Unit Economics'!C11</f>
        <v>10080000</v>
      </c>
      <c r="D17" s="29">
        <f>'Unit Economics'!D40*'Unit Economics'!D11</f>
        <v>16500000</v>
      </c>
      <c r="E17" s="29">
        <f>'Unit Economics'!E40*'Unit Economics'!E11</f>
        <v>24840000</v>
      </c>
      <c r="F17" s="29">
        <f>'Unit Economics'!F40*'Unit Economics'!F11</f>
        <v>31800000</v>
      </c>
      <c r="G17" s="29">
        <f>'Unit Economics'!G40*'Unit Economics'!G11</f>
        <v>33280000</v>
      </c>
      <c r="H17" s="29">
        <f>'Unit Economics'!H40*'Unit Economics'!H11</f>
        <v>29580000</v>
      </c>
      <c r="I17" s="29">
        <f>'Unit Economics'!I40*'Unit Economics'!I11</f>
        <v>24000000</v>
      </c>
      <c r="J17" s="29">
        <f>'Unit Economics'!J40*'Unit Economics'!J11</f>
        <v>19800000</v>
      </c>
      <c r="K17" s="29">
        <f>'Unit Economics'!K40*'Unit Economics'!K11</f>
        <v>16660000</v>
      </c>
      <c r="L17" s="29">
        <f>'Unit Economics'!L40*'Unit Economics'!L11</f>
        <v>14550000</v>
      </c>
      <c r="M17" s="29">
        <f>'Unit Economics'!M40*'Unit Economics'!M11</f>
        <v>12960000</v>
      </c>
      <c r="N17" s="29">
        <f>'Unit Economics'!N40*'Unit Economics'!N11</f>
        <v>12350000</v>
      </c>
    </row>
    <row r="18" spans="1:14">
      <c r="A18" s="11" t="s">
        <v>31</v>
      </c>
      <c r="B18" s="11" t="s">
        <v>83</v>
      </c>
      <c r="C18" s="29">
        <f>'Unit Economics'!C17</f>
        <v>6000000</v>
      </c>
      <c r="D18" s="29">
        <f>'Unit Economics'!D17</f>
        <v>6500000</v>
      </c>
      <c r="E18" s="29">
        <f>'Unit Economics'!E17</f>
        <v>7000000</v>
      </c>
      <c r="F18" s="29">
        <f>'Unit Economics'!F17</f>
        <v>7500000</v>
      </c>
      <c r="G18" s="29">
        <f>'Unit Economics'!G17</f>
        <v>7800000</v>
      </c>
      <c r="H18" s="29">
        <f>'Unit Economics'!H17</f>
        <v>8000000</v>
      </c>
      <c r="I18" s="29">
        <f>'Unit Economics'!I17</f>
        <v>8200000</v>
      </c>
      <c r="J18" s="29">
        <f>'Unit Economics'!J17</f>
        <v>8400000</v>
      </c>
      <c r="K18" s="29">
        <f>'Unit Economics'!K17</f>
        <v>8600000</v>
      </c>
      <c r="L18" s="29">
        <f>'Unit Economics'!L17</f>
        <v>8800000</v>
      </c>
      <c r="M18" s="29">
        <f>'Unit Economics'!M17</f>
        <v>9000000</v>
      </c>
      <c r="N18" s="29">
        <f>'Unit Economics'!N17</f>
        <v>9200000</v>
      </c>
    </row>
    <row r="19" spans="1:14">
      <c r="A19" s="11" t="s">
        <v>34</v>
      </c>
      <c r="B19" s="11" t="s">
        <v>83</v>
      </c>
      <c r="C19" s="29">
        <f>'Unit Economics'!C19</f>
        <v>3000000</v>
      </c>
      <c r="D19" s="29">
        <f>'Unit Economics'!D19</f>
        <v>3200000</v>
      </c>
      <c r="E19" s="29">
        <f>'Unit Economics'!E19</f>
        <v>3400000</v>
      </c>
      <c r="F19" s="29">
        <f>'Unit Economics'!F19</f>
        <v>3600000</v>
      </c>
      <c r="G19" s="29">
        <f>'Unit Economics'!G19</f>
        <v>3800000</v>
      </c>
      <c r="H19" s="29">
        <f>'Unit Economics'!H19</f>
        <v>4000000</v>
      </c>
      <c r="I19" s="29">
        <f>'Unit Economics'!I19</f>
        <v>4200000</v>
      </c>
      <c r="J19" s="29">
        <f>'Unit Economics'!J19</f>
        <v>4400000</v>
      </c>
      <c r="K19" s="29">
        <f>'Unit Economics'!K19</f>
        <v>4600000</v>
      </c>
      <c r="L19" s="29">
        <f>'Unit Economics'!L19</f>
        <v>4800000</v>
      </c>
      <c r="M19" s="29">
        <f>'Unit Economics'!M19</f>
        <v>5000000</v>
      </c>
      <c r="N19" s="29">
        <f>'Unit Economics'!N19</f>
        <v>5200000</v>
      </c>
    </row>
    <row r="20" spans="1:14">
      <c r="A20" s="22" t="s">
        <v>90</v>
      </c>
      <c r="B20" s="22" t="s">
        <v>83</v>
      </c>
      <c r="C20" s="31">
        <f t="shared" ref="C20:N20" si="3">C15-SUM(C17:C19)</f>
        <v>-17449400</v>
      </c>
      <c r="D20" s="31">
        <f t="shared" si="3"/>
        <v>-19255350.721806601</v>
      </c>
      <c r="E20" s="31">
        <f t="shared" si="3"/>
        <v>-19965295.243807692</v>
      </c>
      <c r="F20" s="31">
        <f t="shared" si="3"/>
        <v>-17083888.276690565</v>
      </c>
      <c r="G20" s="31">
        <f t="shared" si="3"/>
        <v>-7617588.9270069823</v>
      </c>
      <c r="H20" s="31">
        <f t="shared" si="3"/>
        <v>5527067.4247757494</v>
      </c>
      <c r="I20" s="31">
        <f t="shared" si="3"/>
        <v>19906506.063718364</v>
      </c>
      <c r="J20" s="31">
        <f t="shared" si="3"/>
        <v>28493177.402329832</v>
      </c>
      <c r="K20" s="31">
        <f t="shared" si="3"/>
        <v>37431554.699390024</v>
      </c>
      <c r="L20" s="31">
        <f t="shared" si="3"/>
        <v>40993233.453847259</v>
      </c>
      <c r="M20" s="31">
        <f t="shared" si="3"/>
        <v>45804634.307997793</v>
      </c>
      <c r="N20" s="31">
        <f t="shared" si="3"/>
        <v>46723969.763267681</v>
      </c>
    </row>
    <row r="21" spans="1:14">
      <c r="A21" s="11" t="s">
        <v>91</v>
      </c>
      <c r="B21" s="11" t="s">
        <v>83</v>
      </c>
      <c r="C21" s="29">
        <f>SUM('Unit Economics'!$C$20:'Unit Economics'!C20)/'Unit Economics'!C30</f>
        <v>2333333.3333333335</v>
      </c>
      <c r="D21" s="29">
        <f>SUM('Unit Economics'!$C$20:'Unit Economics'!D20)/'Unit Economics'!D30</f>
        <v>2666666.6666666665</v>
      </c>
      <c r="E21" s="29">
        <f>SUM('Unit Economics'!$C$20:'Unit Economics'!E20)/'Unit Economics'!E30</f>
        <v>3083333.3333333335</v>
      </c>
      <c r="F21" s="29">
        <f>SUM('Unit Economics'!$C$20:'Unit Economics'!F20)/'Unit Economics'!F30</f>
        <v>3583333.3333333335</v>
      </c>
      <c r="G21" s="29">
        <f>SUM('Unit Economics'!$C$20:'Unit Economics'!G20)/'Unit Economics'!G30</f>
        <v>5916666.666666667</v>
      </c>
      <c r="H21" s="29">
        <f>SUM('Unit Economics'!$C$20:'Unit Economics'!H20)/'Unit Economics'!H30</f>
        <v>6500000</v>
      </c>
      <c r="I21" s="29">
        <f>SUM('Unit Economics'!$C$20:'Unit Economics'!I20)/'Unit Economics'!I30</f>
        <v>6916666.666666667</v>
      </c>
      <c r="J21" s="29">
        <f>SUM('Unit Economics'!$C$20:'Unit Economics'!J20)/'Unit Economics'!J30</f>
        <v>7250000</v>
      </c>
      <c r="K21" s="29">
        <f>SUM('Unit Economics'!$C$20:'Unit Economics'!K20)/'Unit Economics'!K30</f>
        <v>7583333.333333333</v>
      </c>
      <c r="L21" s="29">
        <f>SUM('Unit Economics'!$C$20:'Unit Economics'!L20)/'Unit Economics'!L30</f>
        <v>7916666.666666667</v>
      </c>
      <c r="M21" s="29">
        <f>SUM('Unit Economics'!$C$20:'Unit Economics'!M20)/'Unit Economics'!M30</f>
        <v>8250000</v>
      </c>
      <c r="N21" s="29">
        <f>SUM('Unit Economics'!$C$20:'Unit Economics'!N20)/'Unit Economics'!N30</f>
        <v>8583333.333333334</v>
      </c>
    </row>
    <row r="22" spans="1:14">
      <c r="A22" s="11" t="s">
        <v>92</v>
      </c>
      <c r="B22" s="11" t="s">
        <v>83</v>
      </c>
      <c r="C22" s="18">
        <f t="shared" ref="C22:N22" si="4">C20-C21</f>
        <v>-19782733.333333332</v>
      </c>
      <c r="D22" s="18">
        <f t="shared" si="4"/>
        <v>-21922017.388473269</v>
      </c>
      <c r="E22" s="18">
        <f t="shared" si="4"/>
        <v>-23048628.577141024</v>
      </c>
      <c r="F22" s="18">
        <f t="shared" si="4"/>
        <v>-20667221.610023897</v>
      </c>
      <c r="G22" s="18">
        <f t="shared" si="4"/>
        <v>-13534255.59367365</v>
      </c>
      <c r="H22" s="18">
        <f t="shared" si="4"/>
        <v>-972932.57522425056</v>
      </c>
      <c r="I22" s="18">
        <f t="shared" si="4"/>
        <v>12989839.397051696</v>
      </c>
      <c r="J22" s="18">
        <f t="shared" si="4"/>
        <v>21243177.402329832</v>
      </c>
      <c r="K22" s="18">
        <f t="shared" si="4"/>
        <v>29848221.366056692</v>
      </c>
      <c r="L22" s="18">
        <f t="shared" si="4"/>
        <v>33076566.787180591</v>
      </c>
      <c r="M22" s="18">
        <f t="shared" si="4"/>
        <v>37554634.307997793</v>
      </c>
      <c r="N22" s="18">
        <f t="shared" si="4"/>
        <v>38140636.429934345</v>
      </c>
    </row>
    <row r="23" spans="1:14">
      <c r="A23" s="11" t="s">
        <v>93</v>
      </c>
      <c r="B23" s="11" t="s">
        <v>83</v>
      </c>
      <c r="C23" s="18">
        <f t="shared" ref="C23:N23" si="5">C61</f>
        <v>787500.00000000012</v>
      </c>
      <c r="D23" s="18">
        <f t="shared" si="5"/>
        <v>1575000.0000000002</v>
      </c>
      <c r="E23" s="18">
        <f t="shared" si="5"/>
        <v>1575000.0000000002</v>
      </c>
      <c r="F23" s="18">
        <f t="shared" si="5"/>
        <v>1575000.0000000002</v>
      </c>
      <c r="G23" s="18">
        <f t="shared" si="5"/>
        <v>2176562.5</v>
      </c>
      <c r="H23" s="18">
        <f t="shared" si="5"/>
        <v>2679687.5</v>
      </c>
      <c r="I23" s="18">
        <f t="shared" si="5"/>
        <v>2366145.84</v>
      </c>
      <c r="J23" s="18">
        <f t="shared" si="5"/>
        <v>1935937.52</v>
      </c>
      <c r="K23" s="18">
        <f t="shared" si="5"/>
        <v>1505729.2000000002</v>
      </c>
      <c r="L23" s="18">
        <f t="shared" si="5"/>
        <v>1075520.8800000001</v>
      </c>
      <c r="M23" s="18">
        <f t="shared" si="5"/>
        <v>645312.56000000006</v>
      </c>
      <c r="N23" s="18">
        <f t="shared" si="5"/>
        <v>215104.2</v>
      </c>
    </row>
    <row r="24" spans="1:14">
      <c r="A24" s="11" t="s">
        <v>94</v>
      </c>
      <c r="B24" s="11" t="s">
        <v>83</v>
      </c>
      <c r="C24" s="18">
        <f t="shared" ref="C24:N24" si="6">C22-C23</f>
        <v>-20570233.333333332</v>
      </c>
      <c r="D24" s="18">
        <f t="shared" si="6"/>
        <v>-23497017.388473269</v>
      </c>
      <c r="E24" s="18">
        <f t="shared" si="6"/>
        <v>-24623628.577141024</v>
      </c>
      <c r="F24" s="18">
        <f t="shared" si="6"/>
        <v>-22242221.610023897</v>
      </c>
      <c r="G24" s="18">
        <f t="shared" si="6"/>
        <v>-15710818.09367365</v>
      </c>
      <c r="H24" s="18">
        <f t="shared" si="6"/>
        <v>-3652620.0752242506</v>
      </c>
      <c r="I24" s="18">
        <f t="shared" si="6"/>
        <v>10623693.557051696</v>
      </c>
      <c r="J24" s="18">
        <f t="shared" si="6"/>
        <v>19307239.882329833</v>
      </c>
      <c r="K24" s="18">
        <f t="shared" si="6"/>
        <v>28342492.166056693</v>
      </c>
      <c r="L24" s="18">
        <f t="shared" si="6"/>
        <v>32001045.907180592</v>
      </c>
      <c r="M24" s="18">
        <f t="shared" si="6"/>
        <v>36909321.747997791</v>
      </c>
      <c r="N24" s="18">
        <f t="shared" si="6"/>
        <v>37925532.229934342</v>
      </c>
    </row>
    <row r="25" spans="1:14">
      <c r="A25" s="11" t="s">
        <v>95</v>
      </c>
      <c r="B25" s="11" t="s">
        <v>83</v>
      </c>
      <c r="C25" s="18">
        <f>MAX(C24,0)*'Unit Economics'!C23</f>
        <v>0</v>
      </c>
      <c r="D25" s="18">
        <f>MAX(D24,0)*'Unit Economics'!D23</f>
        <v>0</v>
      </c>
      <c r="E25" s="18">
        <f>MAX(E24,0)*'Unit Economics'!E23</f>
        <v>0</v>
      </c>
      <c r="F25" s="18">
        <f>MAX(F24,0)*'Unit Economics'!F23</f>
        <v>0</v>
      </c>
      <c r="G25" s="18">
        <f>MAX(G24,0)*'Unit Economics'!G23</f>
        <v>0</v>
      </c>
      <c r="H25" s="18">
        <f>MAX(H24,0)*'Unit Economics'!H23</f>
        <v>0</v>
      </c>
      <c r="I25" s="18">
        <f>MAX(I24,0)*'Unit Economics'!I23</f>
        <v>2124738.7114103395</v>
      </c>
      <c r="J25" s="18">
        <f>MAX(J24,0)*'Unit Economics'!J23</f>
        <v>3861447.9764659666</v>
      </c>
      <c r="K25" s="18">
        <f>MAX(K24,0)*'Unit Economics'!K23</f>
        <v>5668498.4332113387</v>
      </c>
      <c r="L25" s="18">
        <f>MAX(L24,0)*'Unit Economics'!L23</f>
        <v>6400209.1814361187</v>
      </c>
      <c r="M25" s="18">
        <f>MAX(M24,0)*'Unit Economics'!M23</f>
        <v>7381864.3495995589</v>
      </c>
      <c r="N25" s="18">
        <f>MAX(N24,0)*'Unit Economics'!N23</f>
        <v>7585106.4459868688</v>
      </c>
    </row>
    <row r="26" spans="1:14">
      <c r="A26" s="22" t="s">
        <v>96</v>
      </c>
      <c r="B26" s="22" t="s">
        <v>83</v>
      </c>
      <c r="C26" s="31">
        <f t="shared" ref="C26:N26" si="7">C24-C25</f>
        <v>-20570233.333333332</v>
      </c>
      <c r="D26" s="31">
        <f t="shared" si="7"/>
        <v>-23497017.388473269</v>
      </c>
      <c r="E26" s="31">
        <f t="shared" si="7"/>
        <v>-24623628.577141024</v>
      </c>
      <c r="F26" s="31">
        <f t="shared" si="7"/>
        <v>-22242221.610023897</v>
      </c>
      <c r="G26" s="31">
        <f t="shared" si="7"/>
        <v>-15710818.09367365</v>
      </c>
      <c r="H26" s="31">
        <f t="shared" si="7"/>
        <v>-3652620.0752242506</v>
      </c>
      <c r="I26" s="31">
        <f t="shared" si="7"/>
        <v>8498954.845641356</v>
      </c>
      <c r="J26" s="31">
        <f t="shared" si="7"/>
        <v>15445791.905863866</v>
      </c>
      <c r="K26" s="31">
        <f t="shared" si="7"/>
        <v>22673993.732845355</v>
      </c>
      <c r="L26" s="31">
        <f t="shared" si="7"/>
        <v>25600836.725744475</v>
      </c>
      <c r="M26" s="31">
        <f t="shared" si="7"/>
        <v>29527457.398398232</v>
      </c>
      <c r="N26" s="31">
        <f t="shared" si="7"/>
        <v>30340425.783947475</v>
      </c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22" customHeight="1">
      <c r="A28" s="43" t="s">
        <v>97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>
      <c r="A30" s="11" t="s">
        <v>98</v>
      </c>
      <c r="B30" s="11" t="s">
        <v>83</v>
      </c>
      <c r="C30" s="18">
        <f>0</f>
        <v>0</v>
      </c>
      <c r="D30" s="18">
        <f t="shared" ref="D30:N30" si="8">C32</f>
        <v>28000000</v>
      </c>
      <c r="E30" s="18">
        <f t="shared" si="8"/>
        <v>32000000</v>
      </c>
      <c r="F30" s="18">
        <f t="shared" si="8"/>
        <v>37000000</v>
      </c>
      <c r="G30" s="18">
        <f t="shared" si="8"/>
        <v>43000000</v>
      </c>
      <c r="H30" s="18">
        <f t="shared" si="8"/>
        <v>71000000</v>
      </c>
      <c r="I30" s="18">
        <f t="shared" si="8"/>
        <v>78000000</v>
      </c>
      <c r="J30" s="18">
        <f t="shared" si="8"/>
        <v>83000000</v>
      </c>
      <c r="K30" s="18">
        <f t="shared" si="8"/>
        <v>87000000</v>
      </c>
      <c r="L30" s="18">
        <f t="shared" si="8"/>
        <v>91000000</v>
      </c>
      <c r="M30" s="18">
        <f t="shared" si="8"/>
        <v>95000000</v>
      </c>
      <c r="N30" s="18">
        <f t="shared" si="8"/>
        <v>99000000</v>
      </c>
    </row>
    <row r="31" spans="1:14">
      <c r="A31" s="11" t="s">
        <v>99</v>
      </c>
      <c r="B31" s="11" t="s">
        <v>83</v>
      </c>
      <c r="C31" s="29">
        <f>'Unit Economics'!C20</f>
        <v>28000000</v>
      </c>
      <c r="D31" s="29">
        <f>'Unit Economics'!D20</f>
        <v>4000000</v>
      </c>
      <c r="E31" s="29">
        <f>'Unit Economics'!E20</f>
        <v>5000000</v>
      </c>
      <c r="F31" s="29">
        <f>'Unit Economics'!F20</f>
        <v>6000000</v>
      </c>
      <c r="G31" s="29">
        <f>'Unit Economics'!G20</f>
        <v>28000000</v>
      </c>
      <c r="H31" s="29">
        <f>'Unit Economics'!H20</f>
        <v>7000000</v>
      </c>
      <c r="I31" s="29">
        <f>'Unit Economics'!I20</f>
        <v>5000000</v>
      </c>
      <c r="J31" s="29">
        <f>'Unit Economics'!J20</f>
        <v>4000000</v>
      </c>
      <c r="K31" s="29">
        <f>'Unit Economics'!K20</f>
        <v>4000000</v>
      </c>
      <c r="L31" s="29">
        <f>'Unit Economics'!L20</f>
        <v>4000000</v>
      </c>
      <c r="M31" s="29">
        <f>'Unit Economics'!M20</f>
        <v>4000000</v>
      </c>
      <c r="N31" s="29">
        <f>'Unit Economics'!N20</f>
        <v>4000000</v>
      </c>
    </row>
    <row r="32" spans="1:14">
      <c r="A32" s="11" t="s">
        <v>100</v>
      </c>
      <c r="B32" s="11" t="s">
        <v>83</v>
      </c>
      <c r="C32" s="18">
        <f t="shared" ref="C32:N32" si="9">C30+C31</f>
        <v>28000000</v>
      </c>
      <c r="D32" s="18">
        <f t="shared" si="9"/>
        <v>32000000</v>
      </c>
      <c r="E32" s="18">
        <f t="shared" si="9"/>
        <v>37000000</v>
      </c>
      <c r="F32" s="18">
        <f t="shared" si="9"/>
        <v>43000000</v>
      </c>
      <c r="G32" s="18">
        <f t="shared" si="9"/>
        <v>71000000</v>
      </c>
      <c r="H32" s="18">
        <f t="shared" si="9"/>
        <v>78000000</v>
      </c>
      <c r="I32" s="18">
        <f t="shared" si="9"/>
        <v>83000000</v>
      </c>
      <c r="J32" s="18">
        <f t="shared" si="9"/>
        <v>87000000</v>
      </c>
      <c r="K32" s="18">
        <f t="shared" si="9"/>
        <v>91000000</v>
      </c>
      <c r="L32" s="18">
        <f t="shared" si="9"/>
        <v>95000000</v>
      </c>
      <c r="M32" s="18">
        <f t="shared" si="9"/>
        <v>99000000</v>
      </c>
      <c r="N32" s="18">
        <f t="shared" si="9"/>
        <v>103000000</v>
      </c>
    </row>
    <row r="33" spans="1:14">
      <c r="A33" s="11" t="s">
        <v>101</v>
      </c>
      <c r="B33" s="11" t="s">
        <v>83</v>
      </c>
      <c r="C33" s="18">
        <f>0</f>
        <v>0</v>
      </c>
      <c r="D33" s="18">
        <f t="shared" ref="D33:N33" si="10">C35</f>
        <v>2333333.3333333335</v>
      </c>
      <c r="E33" s="18">
        <f t="shared" si="10"/>
        <v>5000000</v>
      </c>
      <c r="F33" s="18">
        <f t="shared" si="10"/>
        <v>8083333.333333334</v>
      </c>
      <c r="G33" s="18">
        <f t="shared" si="10"/>
        <v>11666666.666666668</v>
      </c>
      <c r="H33" s="18">
        <f t="shared" si="10"/>
        <v>17583333.333333336</v>
      </c>
      <c r="I33" s="18">
        <f t="shared" si="10"/>
        <v>24083333.333333336</v>
      </c>
      <c r="J33" s="18">
        <f t="shared" si="10"/>
        <v>31000000.000000004</v>
      </c>
      <c r="K33" s="18">
        <f t="shared" si="10"/>
        <v>38250000</v>
      </c>
      <c r="L33" s="18">
        <f t="shared" si="10"/>
        <v>45833333.333333336</v>
      </c>
      <c r="M33" s="18">
        <f t="shared" si="10"/>
        <v>53750000</v>
      </c>
      <c r="N33" s="18">
        <f t="shared" si="10"/>
        <v>62000000</v>
      </c>
    </row>
    <row r="34" spans="1:14">
      <c r="A34" s="11" t="s">
        <v>102</v>
      </c>
      <c r="B34" s="11" t="s">
        <v>83</v>
      </c>
      <c r="C34" s="18">
        <f t="shared" ref="C34:N34" si="11">C21</f>
        <v>2333333.3333333335</v>
      </c>
      <c r="D34" s="18">
        <f t="shared" si="11"/>
        <v>2666666.6666666665</v>
      </c>
      <c r="E34" s="18">
        <f t="shared" si="11"/>
        <v>3083333.3333333335</v>
      </c>
      <c r="F34" s="18">
        <f t="shared" si="11"/>
        <v>3583333.3333333335</v>
      </c>
      <c r="G34" s="18">
        <f t="shared" si="11"/>
        <v>5916666.666666667</v>
      </c>
      <c r="H34" s="18">
        <f t="shared" si="11"/>
        <v>6500000</v>
      </c>
      <c r="I34" s="18">
        <f t="shared" si="11"/>
        <v>6916666.666666667</v>
      </c>
      <c r="J34" s="18">
        <f t="shared" si="11"/>
        <v>7250000</v>
      </c>
      <c r="K34" s="18">
        <f t="shared" si="11"/>
        <v>7583333.333333333</v>
      </c>
      <c r="L34" s="18">
        <f t="shared" si="11"/>
        <v>7916666.666666667</v>
      </c>
      <c r="M34" s="18">
        <f t="shared" si="11"/>
        <v>8250000</v>
      </c>
      <c r="N34" s="18">
        <f t="shared" si="11"/>
        <v>8583333.333333334</v>
      </c>
    </row>
    <row r="35" spans="1:14">
      <c r="A35" s="11" t="s">
        <v>103</v>
      </c>
      <c r="B35" s="11" t="s">
        <v>83</v>
      </c>
      <c r="C35" s="18">
        <f t="shared" ref="C35:N35" si="12">C33+C34</f>
        <v>2333333.3333333335</v>
      </c>
      <c r="D35" s="18">
        <f t="shared" si="12"/>
        <v>5000000</v>
      </c>
      <c r="E35" s="18">
        <f t="shared" si="12"/>
        <v>8083333.333333334</v>
      </c>
      <c r="F35" s="18">
        <f t="shared" si="12"/>
        <v>11666666.666666668</v>
      </c>
      <c r="G35" s="18">
        <f t="shared" si="12"/>
        <v>17583333.333333336</v>
      </c>
      <c r="H35" s="18">
        <f t="shared" si="12"/>
        <v>24083333.333333336</v>
      </c>
      <c r="I35" s="18">
        <f t="shared" si="12"/>
        <v>31000000.000000004</v>
      </c>
      <c r="J35" s="18">
        <f t="shared" si="12"/>
        <v>38250000</v>
      </c>
      <c r="K35" s="18">
        <f t="shared" si="12"/>
        <v>45833333.333333336</v>
      </c>
      <c r="L35" s="18">
        <f t="shared" si="12"/>
        <v>53750000</v>
      </c>
      <c r="M35" s="18">
        <f t="shared" si="12"/>
        <v>62000000</v>
      </c>
      <c r="N35" s="18">
        <f t="shared" si="12"/>
        <v>70583333.333333328</v>
      </c>
    </row>
    <row r="36" spans="1:14">
      <c r="A36" s="22" t="s">
        <v>104</v>
      </c>
      <c r="B36" s="22" t="s">
        <v>83</v>
      </c>
      <c r="C36" s="31">
        <f t="shared" ref="C36:N36" si="13">C32-C35</f>
        <v>25666666.666666668</v>
      </c>
      <c r="D36" s="31">
        <f t="shared" si="13"/>
        <v>27000000</v>
      </c>
      <c r="E36" s="31">
        <f t="shared" si="13"/>
        <v>28916666.666666664</v>
      </c>
      <c r="F36" s="31">
        <f t="shared" si="13"/>
        <v>31333333.333333332</v>
      </c>
      <c r="G36" s="31">
        <f t="shared" si="13"/>
        <v>53416666.666666664</v>
      </c>
      <c r="H36" s="31">
        <f t="shared" si="13"/>
        <v>53916666.666666664</v>
      </c>
      <c r="I36" s="31">
        <f t="shared" si="13"/>
        <v>52000000</v>
      </c>
      <c r="J36" s="31">
        <f t="shared" si="13"/>
        <v>48750000</v>
      </c>
      <c r="K36" s="31">
        <f t="shared" si="13"/>
        <v>45166666.666666664</v>
      </c>
      <c r="L36" s="31">
        <f t="shared" si="13"/>
        <v>41250000</v>
      </c>
      <c r="M36" s="31">
        <f t="shared" si="13"/>
        <v>37000000</v>
      </c>
      <c r="N36" s="31">
        <f t="shared" si="13"/>
        <v>32416666.666666672</v>
      </c>
    </row>
    <row r="37" spans="1:1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22" customHeight="1">
      <c r="A38" s="43" t="s">
        <v>105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A40" s="11" t="s">
        <v>106</v>
      </c>
      <c r="B40" s="11" t="s">
        <v>83</v>
      </c>
      <c r="C40" s="18">
        <f>0</f>
        <v>0</v>
      </c>
      <c r="D40" s="18">
        <f t="shared" ref="D40:N40" si="14">C43</f>
        <v>45000000</v>
      </c>
      <c r="E40" s="18">
        <f t="shared" si="14"/>
        <v>45000000</v>
      </c>
      <c r="F40" s="18">
        <f t="shared" si="14"/>
        <v>45000000</v>
      </c>
      <c r="G40" s="18">
        <f t="shared" si="14"/>
        <v>45000000</v>
      </c>
      <c r="H40" s="18">
        <f t="shared" si="14"/>
        <v>39375000</v>
      </c>
      <c r="I40" s="18">
        <f t="shared" si="14"/>
        <v>33750000</v>
      </c>
      <c r="J40" s="18">
        <f t="shared" si="14"/>
        <v>28125000</v>
      </c>
      <c r="K40" s="18">
        <f t="shared" si="14"/>
        <v>22500000</v>
      </c>
      <c r="L40" s="18">
        <f t="shared" si="14"/>
        <v>16875000</v>
      </c>
      <c r="M40" s="18">
        <f t="shared" si="14"/>
        <v>11250000</v>
      </c>
      <c r="N40" s="18">
        <f t="shared" si="14"/>
        <v>5625000</v>
      </c>
    </row>
    <row r="41" spans="1:14">
      <c r="A41" s="11" t="s">
        <v>107</v>
      </c>
      <c r="B41" s="11" t="s">
        <v>83</v>
      </c>
      <c r="C41" s="29">
        <f>'Unit Economics'!C24</f>
        <v>45000000</v>
      </c>
      <c r="D41" s="29">
        <f>'Unit Economics'!D24</f>
        <v>0</v>
      </c>
      <c r="E41" s="29">
        <f>'Unit Economics'!E24</f>
        <v>0</v>
      </c>
      <c r="F41" s="29">
        <f>'Unit Economics'!F24</f>
        <v>0</v>
      </c>
      <c r="G41" s="29">
        <f>'Unit Economics'!G24</f>
        <v>0</v>
      </c>
      <c r="H41" s="29">
        <f>'Unit Economics'!H24</f>
        <v>0</v>
      </c>
      <c r="I41" s="29">
        <f>'Unit Economics'!I24</f>
        <v>0</v>
      </c>
      <c r="J41" s="29">
        <f>'Unit Economics'!J24</f>
        <v>0</v>
      </c>
      <c r="K41" s="29">
        <f>'Unit Economics'!K24</f>
        <v>0</v>
      </c>
      <c r="L41" s="29">
        <f>'Unit Economics'!L24</f>
        <v>0</v>
      </c>
      <c r="M41" s="29">
        <f>'Unit Economics'!M24</f>
        <v>0</v>
      </c>
      <c r="N41" s="29">
        <f>'Unit Economics'!N24</f>
        <v>0</v>
      </c>
    </row>
    <row r="42" spans="1:14">
      <c r="A42" s="11" t="s">
        <v>108</v>
      </c>
      <c r="B42" s="11" t="s">
        <v>83</v>
      </c>
      <c r="C42" s="29">
        <f>'Unit Economics'!C25</f>
        <v>0</v>
      </c>
      <c r="D42" s="29">
        <f>'Unit Economics'!D25</f>
        <v>0</v>
      </c>
      <c r="E42" s="29">
        <f>'Unit Economics'!E25</f>
        <v>0</v>
      </c>
      <c r="F42" s="29">
        <f>'Unit Economics'!F25</f>
        <v>0</v>
      </c>
      <c r="G42" s="29">
        <f>'Unit Economics'!G25</f>
        <v>5625000</v>
      </c>
      <c r="H42" s="29">
        <f>'Unit Economics'!H25</f>
        <v>5625000</v>
      </c>
      <c r="I42" s="29">
        <f>'Unit Economics'!I25</f>
        <v>5625000</v>
      </c>
      <c r="J42" s="29">
        <f>'Unit Economics'!J25</f>
        <v>5625000</v>
      </c>
      <c r="K42" s="29">
        <f>'Unit Economics'!K25</f>
        <v>5625000</v>
      </c>
      <c r="L42" s="29">
        <f>'Unit Economics'!L25</f>
        <v>5625000</v>
      </c>
      <c r="M42" s="29">
        <f>'Unit Economics'!M25</f>
        <v>5625000</v>
      </c>
      <c r="N42" s="29">
        <f>'Unit Economics'!N25</f>
        <v>5625000</v>
      </c>
    </row>
    <row r="43" spans="1:14">
      <c r="A43" s="11" t="s">
        <v>109</v>
      </c>
      <c r="B43" s="11" t="s">
        <v>83</v>
      </c>
      <c r="C43" s="18">
        <f t="shared" ref="C43:N43" si="15">C40+C41-C42</f>
        <v>45000000</v>
      </c>
      <c r="D43" s="18">
        <f t="shared" si="15"/>
        <v>45000000</v>
      </c>
      <c r="E43" s="18">
        <f t="shared" si="15"/>
        <v>45000000</v>
      </c>
      <c r="F43" s="18">
        <f t="shared" si="15"/>
        <v>45000000</v>
      </c>
      <c r="G43" s="18">
        <f t="shared" si="15"/>
        <v>39375000</v>
      </c>
      <c r="H43" s="18">
        <f t="shared" si="15"/>
        <v>33750000</v>
      </c>
      <c r="I43" s="18">
        <f t="shared" si="15"/>
        <v>28125000</v>
      </c>
      <c r="J43" s="18">
        <f t="shared" si="15"/>
        <v>22500000</v>
      </c>
      <c r="K43" s="18">
        <f t="shared" si="15"/>
        <v>16875000</v>
      </c>
      <c r="L43" s="18">
        <f t="shared" si="15"/>
        <v>11250000</v>
      </c>
      <c r="M43" s="18">
        <f t="shared" si="15"/>
        <v>5625000</v>
      </c>
      <c r="N43" s="18">
        <f t="shared" si="15"/>
        <v>0</v>
      </c>
    </row>
    <row r="44" spans="1:14">
      <c r="A44" s="11" t="s">
        <v>110</v>
      </c>
      <c r="B44" s="11" t="s">
        <v>83</v>
      </c>
      <c r="C44" s="18">
        <f t="shared" ref="C44:N44" si="16">(C40+C43)/2</f>
        <v>22500000</v>
      </c>
      <c r="D44" s="18">
        <f t="shared" si="16"/>
        <v>45000000</v>
      </c>
      <c r="E44" s="18">
        <f t="shared" si="16"/>
        <v>45000000</v>
      </c>
      <c r="F44" s="18">
        <f t="shared" si="16"/>
        <v>45000000</v>
      </c>
      <c r="G44" s="18">
        <f t="shared" si="16"/>
        <v>42187500</v>
      </c>
      <c r="H44" s="18">
        <f t="shared" si="16"/>
        <v>36562500</v>
      </c>
      <c r="I44" s="18">
        <f t="shared" si="16"/>
        <v>30937500</v>
      </c>
      <c r="J44" s="18">
        <f t="shared" si="16"/>
        <v>25312500</v>
      </c>
      <c r="K44" s="18">
        <f t="shared" si="16"/>
        <v>19687500</v>
      </c>
      <c r="L44" s="18">
        <f t="shared" si="16"/>
        <v>14062500</v>
      </c>
      <c r="M44" s="18">
        <f t="shared" si="16"/>
        <v>8437500</v>
      </c>
      <c r="N44" s="18">
        <f t="shared" si="16"/>
        <v>2812500</v>
      </c>
    </row>
    <row r="45" spans="1:14">
      <c r="A45" s="11" t="s">
        <v>111</v>
      </c>
      <c r="B45" s="11" t="s">
        <v>22</v>
      </c>
      <c r="C45" s="32">
        <f>'Unit Economics'!C26</f>
        <v>0.14000000000000001</v>
      </c>
      <c r="D45" s="32">
        <f>'Unit Economics'!D26</f>
        <v>0.14000000000000001</v>
      </c>
      <c r="E45" s="32">
        <f>'Unit Economics'!E26</f>
        <v>0.14000000000000001</v>
      </c>
      <c r="F45" s="32">
        <f>'Unit Economics'!F26</f>
        <v>0.14000000000000001</v>
      </c>
      <c r="G45" s="32">
        <f>'Unit Economics'!G26</f>
        <v>0.14000000000000001</v>
      </c>
      <c r="H45" s="32">
        <f>'Unit Economics'!H26</f>
        <v>0.14000000000000001</v>
      </c>
      <c r="I45" s="32">
        <f>'Unit Economics'!I26</f>
        <v>0.14000000000000001</v>
      </c>
      <c r="J45" s="32">
        <f>'Unit Economics'!J26</f>
        <v>0.14000000000000001</v>
      </c>
      <c r="K45" s="32">
        <f>'Unit Economics'!K26</f>
        <v>0.14000000000000001</v>
      </c>
      <c r="L45" s="32">
        <f>'Unit Economics'!L26</f>
        <v>0.14000000000000001</v>
      </c>
      <c r="M45" s="32">
        <f>'Unit Economics'!M26</f>
        <v>0.14000000000000001</v>
      </c>
      <c r="N45" s="32">
        <f>'Unit Economics'!N26</f>
        <v>0.14000000000000001</v>
      </c>
    </row>
    <row r="46" spans="1:14">
      <c r="A46" s="11" t="s">
        <v>93</v>
      </c>
      <c r="B46" s="11" t="s">
        <v>83</v>
      </c>
      <c r="C46" s="18">
        <f t="shared" ref="C46:N46" si="17">C44*C45/4</f>
        <v>787500.00000000012</v>
      </c>
      <c r="D46" s="18">
        <f t="shared" si="17"/>
        <v>1575000.0000000002</v>
      </c>
      <c r="E46" s="18">
        <f t="shared" si="17"/>
        <v>1575000.0000000002</v>
      </c>
      <c r="F46" s="18">
        <f t="shared" si="17"/>
        <v>1575000.0000000002</v>
      </c>
      <c r="G46" s="18">
        <f t="shared" si="17"/>
        <v>1476562.5000000002</v>
      </c>
      <c r="H46" s="18">
        <f t="shared" si="17"/>
        <v>1279687.5000000002</v>
      </c>
      <c r="I46" s="18">
        <f t="shared" si="17"/>
        <v>1082812.5</v>
      </c>
      <c r="J46" s="18">
        <f t="shared" si="17"/>
        <v>885937.50000000012</v>
      </c>
      <c r="K46" s="18">
        <f t="shared" si="17"/>
        <v>689062.50000000012</v>
      </c>
      <c r="L46" s="18">
        <f t="shared" si="17"/>
        <v>492187.50000000006</v>
      </c>
      <c r="M46" s="18">
        <f t="shared" si="17"/>
        <v>295312.5</v>
      </c>
      <c r="N46" s="18">
        <f t="shared" si="17"/>
        <v>98437.500000000015</v>
      </c>
    </row>
    <row r="47" spans="1:1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2" customHeight="1">
      <c r="A48" s="43" t="s">
        <v>112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>
      <c r="A50" s="11" t="s">
        <v>106</v>
      </c>
      <c r="B50" s="11" t="s">
        <v>83</v>
      </c>
      <c r="C50" s="18">
        <f>0</f>
        <v>0</v>
      </c>
      <c r="D50" s="18">
        <f t="shared" ref="D50:N50" si="18">C53</f>
        <v>0</v>
      </c>
      <c r="E50" s="18">
        <f t="shared" si="18"/>
        <v>0</v>
      </c>
      <c r="F50" s="18">
        <f t="shared" si="18"/>
        <v>0</v>
      </c>
      <c r="G50" s="18">
        <f t="shared" si="18"/>
        <v>0</v>
      </c>
      <c r="H50" s="18">
        <f t="shared" si="18"/>
        <v>35000000</v>
      </c>
      <c r="I50" s="18">
        <f t="shared" si="18"/>
        <v>35000000</v>
      </c>
      <c r="J50" s="18">
        <f t="shared" si="18"/>
        <v>29166667</v>
      </c>
      <c r="K50" s="18">
        <f t="shared" si="18"/>
        <v>23333334</v>
      </c>
      <c r="L50" s="18">
        <f t="shared" si="18"/>
        <v>17500001</v>
      </c>
      <c r="M50" s="18">
        <f t="shared" si="18"/>
        <v>11666668</v>
      </c>
      <c r="N50" s="18">
        <f t="shared" si="18"/>
        <v>5833335</v>
      </c>
    </row>
    <row r="51" spans="1:14">
      <c r="A51" s="11" t="s">
        <v>107</v>
      </c>
      <c r="B51" s="11" t="s">
        <v>83</v>
      </c>
      <c r="C51" s="29">
        <f>'Unit Economics'!C27</f>
        <v>0</v>
      </c>
      <c r="D51" s="29">
        <f>'Unit Economics'!D27</f>
        <v>0</v>
      </c>
      <c r="E51" s="29">
        <f>'Unit Economics'!E27</f>
        <v>0</v>
      </c>
      <c r="F51" s="29">
        <f>'Unit Economics'!F27</f>
        <v>0</v>
      </c>
      <c r="G51" s="29">
        <f>'Unit Economics'!G27</f>
        <v>35000000</v>
      </c>
      <c r="H51" s="29">
        <f>'Unit Economics'!H27</f>
        <v>0</v>
      </c>
      <c r="I51" s="29">
        <f>'Unit Economics'!I27</f>
        <v>0</v>
      </c>
      <c r="J51" s="29">
        <f>'Unit Economics'!J27</f>
        <v>0</v>
      </c>
      <c r="K51" s="29">
        <f>'Unit Economics'!K27</f>
        <v>0</v>
      </c>
      <c r="L51" s="29">
        <f>'Unit Economics'!L27</f>
        <v>0</v>
      </c>
      <c r="M51" s="29">
        <f>'Unit Economics'!M27</f>
        <v>0</v>
      </c>
      <c r="N51" s="29">
        <f>'Unit Economics'!N27</f>
        <v>0</v>
      </c>
    </row>
    <row r="52" spans="1:14">
      <c r="A52" s="11" t="s">
        <v>108</v>
      </c>
      <c r="B52" s="11" t="s">
        <v>83</v>
      </c>
      <c r="C52" s="29">
        <f>'Unit Economics'!C28</f>
        <v>0</v>
      </c>
      <c r="D52" s="29">
        <f>'Unit Economics'!D28</f>
        <v>0</v>
      </c>
      <c r="E52" s="29">
        <f>'Unit Economics'!E28</f>
        <v>0</v>
      </c>
      <c r="F52" s="29">
        <f>'Unit Economics'!F28</f>
        <v>0</v>
      </c>
      <c r="G52" s="29">
        <f>'Unit Economics'!G28</f>
        <v>0</v>
      </c>
      <c r="H52" s="29">
        <f>'Unit Economics'!H28</f>
        <v>0</v>
      </c>
      <c r="I52" s="29">
        <f>'Unit Economics'!I28</f>
        <v>5833333</v>
      </c>
      <c r="J52" s="29">
        <f>'Unit Economics'!J28</f>
        <v>5833333</v>
      </c>
      <c r="K52" s="29">
        <f>'Unit Economics'!K28</f>
        <v>5833333</v>
      </c>
      <c r="L52" s="29">
        <f>'Unit Economics'!L28</f>
        <v>5833333</v>
      </c>
      <c r="M52" s="29">
        <f>'Unit Economics'!M28</f>
        <v>5833333</v>
      </c>
      <c r="N52" s="29">
        <f>'Unit Economics'!N28</f>
        <v>5833335</v>
      </c>
    </row>
    <row r="53" spans="1:14">
      <c r="A53" s="11" t="s">
        <v>109</v>
      </c>
      <c r="B53" s="11" t="s">
        <v>83</v>
      </c>
      <c r="C53" s="18">
        <f t="shared" ref="C53:N53" si="19">C50+C51-C52</f>
        <v>0</v>
      </c>
      <c r="D53" s="18">
        <f t="shared" si="19"/>
        <v>0</v>
      </c>
      <c r="E53" s="18">
        <f t="shared" si="19"/>
        <v>0</v>
      </c>
      <c r="F53" s="18">
        <f t="shared" si="19"/>
        <v>0</v>
      </c>
      <c r="G53" s="18">
        <f t="shared" si="19"/>
        <v>35000000</v>
      </c>
      <c r="H53" s="18">
        <f t="shared" si="19"/>
        <v>35000000</v>
      </c>
      <c r="I53" s="18">
        <f t="shared" si="19"/>
        <v>29166667</v>
      </c>
      <c r="J53" s="18">
        <f t="shared" si="19"/>
        <v>23333334</v>
      </c>
      <c r="K53" s="18">
        <f t="shared" si="19"/>
        <v>17500001</v>
      </c>
      <c r="L53" s="18">
        <f t="shared" si="19"/>
        <v>11666668</v>
      </c>
      <c r="M53" s="18">
        <f t="shared" si="19"/>
        <v>5833335</v>
      </c>
      <c r="N53" s="18">
        <f t="shared" si="19"/>
        <v>0</v>
      </c>
    </row>
    <row r="54" spans="1:14">
      <c r="A54" s="11" t="s">
        <v>110</v>
      </c>
      <c r="B54" s="11" t="s">
        <v>83</v>
      </c>
      <c r="C54" s="18">
        <f t="shared" ref="C54:N54" si="20">(C50+C53)/2</f>
        <v>0</v>
      </c>
      <c r="D54" s="18">
        <f t="shared" si="20"/>
        <v>0</v>
      </c>
      <c r="E54" s="18">
        <f t="shared" si="20"/>
        <v>0</v>
      </c>
      <c r="F54" s="18">
        <f t="shared" si="20"/>
        <v>0</v>
      </c>
      <c r="G54" s="18">
        <f t="shared" si="20"/>
        <v>17500000</v>
      </c>
      <c r="H54" s="18">
        <f t="shared" si="20"/>
        <v>35000000</v>
      </c>
      <c r="I54" s="18">
        <f t="shared" si="20"/>
        <v>32083333.5</v>
      </c>
      <c r="J54" s="18">
        <f t="shared" si="20"/>
        <v>26250000.5</v>
      </c>
      <c r="K54" s="18">
        <f t="shared" si="20"/>
        <v>20416667.5</v>
      </c>
      <c r="L54" s="18">
        <f t="shared" si="20"/>
        <v>14583334.5</v>
      </c>
      <c r="M54" s="18">
        <f t="shared" si="20"/>
        <v>8750001.5</v>
      </c>
      <c r="N54" s="18">
        <f t="shared" si="20"/>
        <v>2916667.5</v>
      </c>
    </row>
    <row r="55" spans="1:14">
      <c r="A55" s="11" t="s">
        <v>111</v>
      </c>
      <c r="B55" s="11" t="s">
        <v>22</v>
      </c>
      <c r="C55" s="32">
        <f>'Unit Economics'!C29</f>
        <v>0.16</v>
      </c>
      <c r="D55" s="32">
        <f>'Unit Economics'!D29</f>
        <v>0.16</v>
      </c>
      <c r="E55" s="32">
        <f>'Unit Economics'!E29</f>
        <v>0.16</v>
      </c>
      <c r="F55" s="32">
        <f>'Unit Economics'!F29</f>
        <v>0.16</v>
      </c>
      <c r="G55" s="32">
        <f>'Unit Economics'!G29</f>
        <v>0.16</v>
      </c>
      <c r="H55" s="32">
        <f>'Unit Economics'!H29</f>
        <v>0.16</v>
      </c>
      <c r="I55" s="32">
        <f>'Unit Economics'!I29</f>
        <v>0.16</v>
      </c>
      <c r="J55" s="32">
        <f>'Unit Economics'!J29</f>
        <v>0.16</v>
      </c>
      <c r="K55" s="32">
        <f>'Unit Economics'!K29</f>
        <v>0.16</v>
      </c>
      <c r="L55" s="32">
        <f>'Unit Economics'!L29</f>
        <v>0.16</v>
      </c>
      <c r="M55" s="32">
        <f>'Unit Economics'!M29</f>
        <v>0.16</v>
      </c>
      <c r="N55" s="32">
        <f>'Unit Economics'!N29</f>
        <v>0.16</v>
      </c>
    </row>
    <row r="56" spans="1:14">
      <c r="A56" s="11" t="s">
        <v>93</v>
      </c>
      <c r="B56" s="11" t="s">
        <v>83</v>
      </c>
      <c r="C56" s="18">
        <f t="shared" ref="C56:N56" si="21">C54*C55/4</f>
        <v>0</v>
      </c>
      <c r="D56" s="18">
        <f t="shared" si="21"/>
        <v>0</v>
      </c>
      <c r="E56" s="18">
        <f t="shared" si="21"/>
        <v>0</v>
      </c>
      <c r="F56" s="18">
        <f t="shared" si="21"/>
        <v>0</v>
      </c>
      <c r="G56" s="18">
        <f t="shared" si="21"/>
        <v>700000</v>
      </c>
      <c r="H56" s="18">
        <f t="shared" si="21"/>
        <v>1400000</v>
      </c>
      <c r="I56" s="18">
        <f t="shared" si="21"/>
        <v>1283333.3400000001</v>
      </c>
      <c r="J56" s="18">
        <f t="shared" si="21"/>
        <v>1050000.02</v>
      </c>
      <c r="K56" s="18">
        <f t="shared" si="21"/>
        <v>816666.70000000007</v>
      </c>
      <c r="L56" s="18">
        <f t="shared" si="21"/>
        <v>583333.38</v>
      </c>
      <c r="M56" s="18">
        <f t="shared" si="21"/>
        <v>350000.06</v>
      </c>
      <c r="N56" s="18">
        <f t="shared" si="21"/>
        <v>116666.7</v>
      </c>
    </row>
    <row r="57" spans="1:14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2" customHeight="1">
      <c r="A58" s="43" t="s">
        <v>113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4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>
      <c r="A60" s="22" t="s">
        <v>114</v>
      </c>
      <c r="B60" s="22" t="s">
        <v>83</v>
      </c>
      <c r="C60" s="31">
        <f t="shared" ref="C60:N60" si="22">C43+C53</f>
        <v>45000000</v>
      </c>
      <c r="D60" s="31">
        <f t="shared" si="22"/>
        <v>45000000</v>
      </c>
      <c r="E60" s="31">
        <f t="shared" si="22"/>
        <v>45000000</v>
      </c>
      <c r="F60" s="31">
        <f t="shared" si="22"/>
        <v>45000000</v>
      </c>
      <c r="G60" s="31">
        <f t="shared" si="22"/>
        <v>74375000</v>
      </c>
      <c r="H60" s="31">
        <f t="shared" si="22"/>
        <v>68750000</v>
      </c>
      <c r="I60" s="31">
        <f t="shared" si="22"/>
        <v>57291667</v>
      </c>
      <c r="J60" s="31">
        <f t="shared" si="22"/>
        <v>45833334</v>
      </c>
      <c r="K60" s="31">
        <f t="shared" si="22"/>
        <v>34375001</v>
      </c>
      <c r="L60" s="31">
        <f t="shared" si="22"/>
        <v>22916668</v>
      </c>
      <c r="M60" s="31">
        <f t="shared" si="22"/>
        <v>11458335</v>
      </c>
      <c r="N60" s="31">
        <f t="shared" si="22"/>
        <v>0</v>
      </c>
    </row>
    <row r="61" spans="1:14">
      <c r="A61" s="22" t="s">
        <v>115</v>
      </c>
      <c r="B61" s="22" t="s">
        <v>83</v>
      </c>
      <c r="C61" s="31">
        <f t="shared" ref="C61:N61" si="23">C46+C56</f>
        <v>787500.00000000012</v>
      </c>
      <c r="D61" s="31">
        <f t="shared" si="23"/>
        <v>1575000.0000000002</v>
      </c>
      <c r="E61" s="31">
        <f t="shared" si="23"/>
        <v>1575000.0000000002</v>
      </c>
      <c r="F61" s="31">
        <f t="shared" si="23"/>
        <v>1575000.0000000002</v>
      </c>
      <c r="G61" s="31">
        <f t="shared" si="23"/>
        <v>2176562.5</v>
      </c>
      <c r="H61" s="31">
        <f t="shared" si="23"/>
        <v>2679687.5</v>
      </c>
      <c r="I61" s="31">
        <f t="shared" si="23"/>
        <v>2366145.84</v>
      </c>
      <c r="J61" s="31">
        <f t="shared" si="23"/>
        <v>1935937.52</v>
      </c>
      <c r="K61" s="31">
        <f t="shared" si="23"/>
        <v>1505729.2000000002</v>
      </c>
      <c r="L61" s="31">
        <f t="shared" si="23"/>
        <v>1075520.8800000001</v>
      </c>
      <c r="M61" s="31">
        <f t="shared" si="23"/>
        <v>645312.56000000006</v>
      </c>
      <c r="N61" s="31">
        <f t="shared" si="23"/>
        <v>215104.2</v>
      </c>
    </row>
  </sheetData>
  <mergeCells count="7">
    <mergeCell ref="A48:N48"/>
    <mergeCell ref="A58:N58"/>
    <mergeCell ref="A1:N1"/>
    <mergeCell ref="A2:N2"/>
    <mergeCell ref="A7:N7"/>
    <mergeCell ref="A28:N28"/>
    <mergeCell ref="A38:N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showGridLines="0" zoomScale="133" workbookViewId="0">
      <selection activeCell="D19" sqref="D19"/>
    </sheetView>
  </sheetViews>
  <sheetFormatPr baseColWidth="10" defaultColWidth="8.83203125" defaultRowHeight="15"/>
  <cols>
    <col min="1" max="1" width="39" customWidth="1"/>
    <col min="2" max="2" width="15" customWidth="1"/>
    <col min="3" max="14" width="13" customWidth="1"/>
  </cols>
  <sheetData>
    <row r="1" spans="1:14" ht="32" customHeight="1">
      <c r="A1" s="41" t="s">
        <v>116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0" customHeight="1">
      <c r="A2" s="42" t="s">
        <v>117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4" customHeight="1">
      <c r="A5" s="2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5" t="s">
        <v>15</v>
      </c>
    </row>
    <row r="6" spans="1:1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2" customHeight="1">
      <c r="A7" s="43" t="s">
        <v>118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>
      <c r="A8" s="11" t="s">
        <v>119</v>
      </c>
      <c r="B8" s="11" t="s">
        <v>41</v>
      </c>
      <c r="C8" s="29">
        <f>'Cash Flow'!C17</f>
        <v>120160744.44444445</v>
      </c>
      <c r="D8" s="29">
        <f>'Cash Flow'!D17</f>
        <v>93918548.996874869</v>
      </c>
      <c r="E8" s="29">
        <f>'Cash Flow'!E17</f>
        <v>65094331.266714573</v>
      </c>
      <c r="F8" s="29">
        <f>'Cash Flow'!F17</f>
        <v>37528795.107670687</v>
      </c>
      <c r="G8" s="29">
        <f>'Cash Flow'!G17</f>
        <v>25883387.989195384</v>
      </c>
      <c r="H8" s="29">
        <f>'Cash Flow'!H17</f>
        <v>13418817.944858709</v>
      </c>
      <c r="I8" s="29">
        <f>'Cash Flow'!I17</f>
        <v>9909428.2989325505</v>
      </c>
      <c r="J8" s="29">
        <f>'Cash Flow'!J17</f>
        <v>15920646.432826126</v>
      </c>
      <c r="K8" s="29">
        <f>'Cash Flow'!K17</f>
        <v>29106426.918167248</v>
      </c>
      <c r="L8" s="29">
        <f>'Cash Flow'!L17</f>
        <v>46761332.873204783</v>
      </c>
      <c r="M8" s="29">
        <f>'Cash Flow'!M17</f>
        <v>68186218.162596792</v>
      </c>
      <c r="N8" s="29">
        <f>'Cash Flow'!N17</f>
        <v>91561541.617810428</v>
      </c>
    </row>
    <row r="9" spans="1:14">
      <c r="A9" s="11" t="s">
        <v>120</v>
      </c>
      <c r="B9" s="11" t="s">
        <v>41</v>
      </c>
      <c r="C9" s="29">
        <f>'Profit &amp; Loss'!C10*'Unit Economics'!C21/90</f>
        <v>1200000</v>
      </c>
      <c r="D9" s="29">
        <f>'Profit &amp; Loss'!D10*'Unit Economics'!D21/90</f>
        <v>3132502.2086</v>
      </c>
      <c r="E9" s="29">
        <f>'Profit &amp; Loss'!E10*'Unit Economics'!E21/90</f>
        <v>6074275.2203642158</v>
      </c>
      <c r="F9" s="29">
        <f>'Profit &amp; Loss'!F10*'Unit Economics'!F21/90</f>
        <v>9672618.0020006783</v>
      </c>
      <c r="G9" s="29">
        <f>'Profit &amp; Loss'!G10*'Unit Economics'!G21/90</f>
        <v>13641341.626360537</v>
      </c>
      <c r="H9" s="29">
        <f>'Profit &amp; Loss'!H10*'Unit Economics'!H21/90</f>
        <v>16582028.858830729</v>
      </c>
      <c r="I9" s="29">
        <f>'Profit &amp; Loss'!I10*'Unit Economics'!I21/90</f>
        <v>19138265.606732082</v>
      </c>
      <c r="J9" s="29">
        <f>'Profit &amp; Loss'!J10*'Unit Economics'!J21/90</f>
        <v>20395390.201459661</v>
      </c>
      <c r="K9" s="29">
        <f>'Profit &amp; Loss'!K10*'Unit Economics'!K21/90</f>
        <v>22018816.664469499</v>
      </c>
      <c r="L9" s="29">
        <f>'Profit &amp; Loss'!L10*'Unit Economics'!L21/90</f>
        <v>22427162.457496163</v>
      </c>
      <c r="M9" s="29">
        <f>'Profit &amp; Loss'!M10*'Unit Economics'!M21/90</f>
        <v>23319023.720137816</v>
      </c>
      <c r="N9" s="29">
        <f>'Profit &amp; Loss'!N10*'Unit Economics'!N21/90</f>
        <v>23425820.969062675</v>
      </c>
    </row>
    <row r="10" spans="1:14">
      <c r="A10" s="11" t="s">
        <v>104</v>
      </c>
      <c r="B10" s="11" t="s">
        <v>41</v>
      </c>
      <c r="C10" s="29">
        <f>'Profit &amp; Loss'!C36</f>
        <v>25666666.666666668</v>
      </c>
      <c r="D10" s="29">
        <f>'Profit &amp; Loss'!D36</f>
        <v>27000000</v>
      </c>
      <c r="E10" s="29">
        <f>'Profit &amp; Loss'!E36</f>
        <v>28916666.666666664</v>
      </c>
      <c r="F10" s="29">
        <f>'Profit &amp; Loss'!F36</f>
        <v>31333333.333333332</v>
      </c>
      <c r="G10" s="29">
        <f>'Profit &amp; Loss'!G36</f>
        <v>53416666.666666664</v>
      </c>
      <c r="H10" s="29">
        <f>'Profit &amp; Loss'!H36</f>
        <v>53916666.666666664</v>
      </c>
      <c r="I10" s="29">
        <f>'Profit &amp; Loss'!I36</f>
        <v>52000000</v>
      </c>
      <c r="J10" s="29">
        <f>'Profit &amp; Loss'!J36</f>
        <v>48750000</v>
      </c>
      <c r="K10" s="29">
        <f>'Profit &amp; Loss'!K36</f>
        <v>45166666.666666664</v>
      </c>
      <c r="L10" s="29">
        <f>'Profit &amp; Loss'!L36</f>
        <v>41250000</v>
      </c>
      <c r="M10" s="29">
        <f>'Profit &amp; Loss'!M36</f>
        <v>37000000</v>
      </c>
      <c r="N10" s="29">
        <f>'Profit &amp; Loss'!N36</f>
        <v>32416666.666666672</v>
      </c>
    </row>
    <row r="11" spans="1:14">
      <c r="A11" s="19" t="s">
        <v>121</v>
      </c>
      <c r="B11" s="19" t="s">
        <v>41</v>
      </c>
      <c r="C11" s="20">
        <f t="shared" ref="C11:N11" si="0">SUM(C8:C10)</f>
        <v>147027411.1111111</v>
      </c>
      <c r="D11" s="20">
        <f t="shared" si="0"/>
        <v>124051051.20547487</v>
      </c>
      <c r="E11" s="20">
        <f t="shared" si="0"/>
        <v>100085273.15374544</v>
      </c>
      <c r="F11" s="20">
        <f t="shared" si="0"/>
        <v>78534746.443004698</v>
      </c>
      <c r="G11" s="20">
        <f t="shared" si="0"/>
        <v>92941396.282222584</v>
      </c>
      <c r="H11" s="20">
        <f t="shared" si="0"/>
        <v>83917513.470356107</v>
      </c>
      <c r="I11" s="20">
        <f t="shared" si="0"/>
        <v>81047693.905664623</v>
      </c>
      <c r="J11" s="20">
        <f t="shared" si="0"/>
        <v>85066036.634285778</v>
      </c>
      <c r="K11" s="20">
        <f t="shared" si="0"/>
        <v>96291910.249303401</v>
      </c>
      <c r="L11" s="20">
        <f t="shared" si="0"/>
        <v>110438495.33070095</v>
      </c>
      <c r="M11" s="20">
        <f t="shared" si="0"/>
        <v>128505241.88273461</v>
      </c>
      <c r="N11" s="20">
        <f t="shared" si="0"/>
        <v>147404029.25353977</v>
      </c>
    </row>
    <row r="12" spans="1:1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2" customHeight="1">
      <c r="A13" s="43" t="s">
        <v>122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>
      <c r="A14" s="11" t="s">
        <v>123</v>
      </c>
      <c r="B14" s="11" t="s">
        <v>41</v>
      </c>
      <c r="C14" s="29">
        <f>SUM('Profit &amp; Loss'!C11:C14,'Profit &amp; Loss'!C18:'Profit &amp; Loss'!C19)*'Unit Economics'!C22/90</f>
        <v>2597644.4444444445</v>
      </c>
      <c r="D14" s="29">
        <f>SUM('Profit &amp; Loss'!D11:D14,'Profit &amp; Loss'!D18:'Profit &amp; Loss'!D19)*'Unit Economics'!D22/90</f>
        <v>3118301.9272814663</v>
      </c>
      <c r="E14" s="29">
        <f>SUM('Profit &amp; Loss'!E11:E14,'Profit &amp; Loss'!E18:'Profit &amp; Loss'!E19)*'Unit Economics'!E22/90</f>
        <v>3776152.4526930824</v>
      </c>
      <c r="F14" s="29">
        <f>SUM('Profit &amp; Loss'!F11:F14,'Profit &amp; Loss'!F18:'Profit &amp; Loss'!F19)*'Unit Economics'!F22/90</f>
        <v>4467847.3519762242</v>
      </c>
      <c r="G14" s="29">
        <f>SUM('Profit &amp; Loss'!G11:G14,'Profit &amp; Loss'!G18:'Profit &amp; Loss'!G19)*'Unit Economics'!G22/90</f>
        <v>5210315.2848677598</v>
      </c>
      <c r="H14" s="29">
        <f>SUM('Profit &amp; Loss'!H11:H14,'Profit &amp; Loss'!H18:'Profit &amp; Loss'!H19)*'Unit Economics'!H22/90</f>
        <v>5464052.5482255276</v>
      </c>
      <c r="I14" s="29">
        <f>SUM('Profit &amp; Loss'!I11:I14,'Profit &amp; Loss'!I18:'Profit &amp; Loss'!I19)*'Unit Economics'!I22/90</f>
        <v>5553611.137892697</v>
      </c>
      <c r="J14" s="29">
        <f>SUM('Profit &amp; Loss'!J11:J14,'Profit &amp; Loss'!J18:'Profit &amp; Loss'!J19)*'Unit Economics'!J22/90</f>
        <v>5584494.9606499868</v>
      </c>
      <c r="K14" s="29">
        <f>SUM('Profit &amp; Loss'!K11:K14,'Profit &amp; Loss'!K18:'Profit &amp; Loss'!K19)*'Unit Economics'!K22/90</f>
        <v>5594707.8428222621</v>
      </c>
      <c r="L14" s="29">
        <f>SUM('Profit &amp; Loss'!L11:L14,'Profit &amp; Loss'!L18:'Profit &amp; Loss'!L19)*'Unit Economics'!L22/90</f>
        <v>5598789.1984753134</v>
      </c>
      <c r="M14" s="29">
        <f>SUM('Profit &amp; Loss'!M11:M14,'Profit &amp; Loss'!M18:'Profit &amp; Loss'!M19)*'Unit Economics'!M22/90</f>
        <v>5596411.3521107435</v>
      </c>
      <c r="N14" s="29">
        <f>SUM('Profit &amp; Loss'!N11:N14,'Profit &amp; Loss'!N18:'Profit &amp; Loss'!N19)*'Unit Economics'!N22/90</f>
        <v>5613107.9389684331</v>
      </c>
    </row>
    <row r="15" spans="1:14">
      <c r="A15" s="11" t="s">
        <v>124</v>
      </c>
      <c r="B15" s="11" t="s">
        <v>41</v>
      </c>
      <c r="C15" s="29">
        <f>'Profit &amp; Loss'!C60</f>
        <v>45000000</v>
      </c>
      <c r="D15" s="29">
        <f>'Profit &amp; Loss'!D60</f>
        <v>45000000</v>
      </c>
      <c r="E15" s="29">
        <f>'Profit &amp; Loss'!E60</f>
        <v>45000000</v>
      </c>
      <c r="F15" s="29">
        <f>'Profit &amp; Loss'!F60</f>
        <v>45000000</v>
      </c>
      <c r="G15" s="29">
        <f>'Profit &amp; Loss'!G60</f>
        <v>74375000</v>
      </c>
      <c r="H15" s="29">
        <f>'Profit &amp; Loss'!H60</f>
        <v>68750000</v>
      </c>
      <c r="I15" s="29">
        <f>'Profit &amp; Loss'!I60</f>
        <v>57291667</v>
      </c>
      <c r="J15" s="29">
        <f>'Profit &amp; Loss'!J60</f>
        <v>45833334</v>
      </c>
      <c r="K15" s="29">
        <f>'Profit &amp; Loss'!K60</f>
        <v>34375001</v>
      </c>
      <c r="L15" s="29">
        <f>'Profit &amp; Loss'!L60</f>
        <v>22916668</v>
      </c>
      <c r="M15" s="29">
        <f>'Profit &amp; Loss'!M60</f>
        <v>11458335</v>
      </c>
      <c r="N15" s="29">
        <f>'Profit &amp; Loss'!N60</f>
        <v>0</v>
      </c>
    </row>
    <row r="16" spans="1:14">
      <c r="A16" s="11" t="s">
        <v>125</v>
      </c>
      <c r="B16" s="11" t="s">
        <v>41</v>
      </c>
      <c r="C16" s="18">
        <f t="shared" ref="C16:N16" si="1">SUM(C14:C15)</f>
        <v>47597644.444444448</v>
      </c>
      <c r="D16" s="18">
        <f t="shared" si="1"/>
        <v>48118301.927281469</v>
      </c>
      <c r="E16" s="18">
        <f t="shared" si="1"/>
        <v>48776152.452693082</v>
      </c>
      <c r="F16" s="18">
        <f t="shared" si="1"/>
        <v>49467847.351976223</v>
      </c>
      <c r="G16" s="18">
        <f t="shared" si="1"/>
        <v>79585315.284867764</v>
      </c>
      <c r="H16" s="18">
        <f t="shared" si="1"/>
        <v>74214052.548225522</v>
      </c>
      <c r="I16" s="18">
        <f t="shared" si="1"/>
        <v>62845278.137892693</v>
      </c>
      <c r="J16" s="18">
        <f t="shared" si="1"/>
        <v>51417828.96064999</v>
      </c>
      <c r="K16" s="18">
        <f t="shared" si="1"/>
        <v>39969708.842822261</v>
      </c>
      <c r="L16" s="18">
        <f t="shared" si="1"/>
        <v>28515457.198475312</v>
      </c>
      <c r="M16" s="18">
        <f t="shared" si="1"/>
        <v>17054746.352110744</v>
      </c>
      <c r="N16" s="18">
        <f t="shared" si="1"/>
        <v>5613107.9389684331</v>
      </c>
    </row>
    <row r="17" spans="1:14">
      <c r="A17" s="11" t="s">
        <v>126</v>
      </c>
      <c r="B17" s="11" t="s">
        <v>41</v>
      </c>
      <c r="C17" s="29">
        <f>'Unit Economics'!C31</f>
        <v>120000000</v>
      </c>
      <c r="D17" s="29">
        <f>'Unit Economics'!D31</f>
        <v>120000000</v>
      </c>
      <c r="E17" s="29">
        <f>'Unit Economics'!E31</f>
        <v>120000000</v>
      </c>
      <c r="F17" s="29">
        <f>'Unit Economics'!F31</f>
        <v>120000000</v>
      </c>
      <c r="G17" s="29">
        <f>'Unit Economics'!G31</f>
        <v>120000000</v>
      </c>
      <c r="H17" s="29">
        <f>'Unit Economics'!H31</f>
        <v>120000000</v>
      </c>
      <c r="I17" s="29">
        <f>'Unit Economics'!I31</f>
        <v>120000000</v>
      </c>
      <c r="J17" s="29">
        <f>'Unit Economics'!J31</f>
        <v>120000000</v>
      </c>
      <c r="K17" s="29">
        <f>'Unit Economics'!K31</f>
        <v>120000000</v>
      </c>
      <c r="L17" s="29">
        <f>'Unit Economics'!L31</f>
        <v>120000000</v>
      </c>
      <c r="M17" s="29">
        <f>'Unit Economics'!M31</f>
        <v>120000000</v>
      </c>
      <c r="N17" s="29">
        <f>'Unit Economics'!N31</f>
        <v>120000000</v>
      </c>
    </row>
    <row r="18" spans="1:14">
      <c r="A18" s="11" t="s">
        <v>127</v>
      </c>
      <c r="B18" s="11" t="s">
        <v>41</v>
      </c>
      <c r="C18" s="29">
        <f>'Profit &amp; Loss'!C26</f>
        <v>-20570233.333333332</v>
      </c>
      <c r="D18" s="29">
        <f>C18+'Profit &amp; Loss'!D26</f>
        <v>-44067250.721806601</v>
      </c>
      <c r="E18" s="29">
        <f>D18+'Profit &amp; Loss'!E26</f>
        <v>-68690879.298947632</v>
      </c>
      <c r="F18" s="29">
        <f>E18+'Profit &amp; Loss'!F26</f>
        <v>-90933100.908971533</v>
      </c>
      <c r="G18" s="29">
        <f>F18+'Profit &amp; Loss'!G26</f>
        <v>-106643919.00264518</v>
      </c>
      <c r="H18" s="29">
        <f>G18+'Profit &amp; Loss'!H26</f>
        <v>-110296539.07786943</v>
      </c>
      <c r="I18" s="29">
        <f>H18+'Profit &amp; Loss'!I26</f>
        <v>-101797584.23222807</v>
      </c>
      <c r="J18" s="29">
        <f>I18+'Profit &amp; Loss'!J26</f>
        <v>-86351792.326364204</v>
      </c>
      <c r="K18" s="29">
        <f>J18+'Profit &amp; Loss'!K26</f>
        <v>-63677798.593518853</v>
      </c>
      <c r="L18" s="29">
        <f>K18+'Profit &amp; Loss'!L26</f>
        <v>-38076961.867774382</v>
      </c>
      <c r="M18" s="29">
        <f>L18+'Profit &amp; Loss'!M26</f>
        <v>-8549504.4693761505</v>
      </c>
      <c r="N18" s="29">
        <f>M18+'Profit &amp; Loss'!N26</f>
        <v>21790921.314571325</v>
      </c>
    </row>
    <row r="19" spans="1:14">
      <c r="A19" s="19" t="s">
        <v>128</v>
      </c>
      <c r="B19" s="19" t="s">
        <v>41</v>
      </c>
      <c r="C19" s="20">
        <f t="shared" ref="C19:N19" si="2">C17+C18</f>
        <v>99429766.666666672</v>
      </c>
      <c r="D19" s="20">
        <f t="shared" si="2"/>
        <v>75932749.278193399</v>
      </c>
      <c r="E19" s="20">
        <f t="shared" si="2"/>
        <v>51309120.701052368</v>
      </c>
      <c r="F19" s="20">
        <f t="shared" si="2"/>
        <v>29066899.091028467</v>
      </c>
      <c r="G19" s="20">
        <f t="shared" si="2"/>
        <v>13356080.99735482</v>
      </c>
      <c r="H19" s="20">
        <f t="shared" si="2"/>
        <v>9703460.9221305698</v>
      </c>
      <c r="I19" s="20">
        <f t="shared" si="2"/>
        <v>18202415.76777193</v>
      </c>
      <c r="J19" s="20">
        <f t="shared" si="2"/>
        <v>33648207.673635796</v>
      </c>
      <c r="K19" s="20">
        <f t="shared" si="2"/>
        <v>56322201.406481147</v>
      </c>
      <c r="L19" s="20">
        <f t="shared" si="2"/>
        <v>81923038.132225618</v>
      </c>
      <c r="M19" s="20">
        <f t="shared" si="2"/>
        <v>111450495.53062385</v>
      </c>
      <c r="N19" s="20">
        <f t="shared" si="2"/>
        <v>141790921.31457132</v>
      </c>
    </row>
    <row r="20" spans="1:14">
      <c r="A20" s="19" t="s">
        <v>129</v>
      </c>
      <c r="B20" s="19" t="s">
        <v>41</v>
      </c>
      <c r="C20" s="20">
        <f t="shared" ref="C20:N20" si="3">C16+C19</f>
        <v>147027411.1111111</v>
      </c>
      <c r="D20" s="20">
        <f t="shared" si="3"/>
        <v>124051051.20547487</v>
      </c>
      <c r="E20" s="20">
        <f t="shared" si="3"/>
        <v>100085273.15374544</v>
      </c>
      <c r="F20" s="20">
        <f t="shared" si="3"/>
        <v>78534746.443004698</v>
      </c>
      <c r="G20" s="20">
        <f t="shared" si="3"/>
        <v>92941396.282222584</v>
      </c>
      <c r="H20" s="20">
        <f t="shared" si="3"/>
        <v>83917513.470356092</v>
      </c>
      <c r="I20" s="20">
        <f t="shared" si="3"/>
        <v>81047693.905664623</v>
      </c>
      <c r="J20" s="20">
        <f t="shared" si="3"/>
        <v>85066036.634285778</v>
      </c>
      <c r="K20" s="20">
        <f t="shared" si="3"/>
        <v>96291910.249303401</v>
      </c>
      <c r="L20" s="20">
        <f t="shared" si="3"/>
        <v>110438495.33070093</v>
      </c>
      <c r="M20" s="20">
        <f t="shared" si="3"/>
        <v>128505241.8827346</v>
      </c>
      <c r="N20" s="20">
        <f t="shared" si="3"/>
        <v>147404029.25353974</v>
      </c>
    </row>
    <row r="21" spans="1:14">
      <c r="A21" s="22" t="s">
        <v>130</v>
      </c>
      <c r="B21" s="22" t="s">
        <v>41</v>
      </c>
      <c r="C21" s="31">
        <f t="shared" ref="C21:N21" si="4">C11-C20</f>
        <v>0</v>
      </c>
      <c r="D21" s="31">
        <f t="shared" si="4"/>
        <v>0</v>
      </c>
      <c r="E21" s="31">
        <f t="shared" si="4"/>
        <v>0</v>
      </c>
      <c r="F21" s="31">
        <f t="shared" si="4"/>
        <v>0</v>
      </c>
      <c r="G21" s="31">
        <f t="shared" si="4"/>
        <v>0</v>
      </c>
      <c r="H21" s="31">
        <f t="shared" si="4"/>
        <v>0</v>
      </c>
      <c r="I21" s="31">
        <f t="shared" si="4"/>
        <v>0</v>
      </c>
      <c r="J21" s="31">
        <f t="shared" si="4"/>
        <v>0</v>
      </c>
      <c r="K21" s="31">
        <f t="shared" si="4"/>
        <v>0</v>
      </c>
      <c r="L21" s="31">
        <f t="shared" si="4"/>
        <v>0</v>
      </c>
      <c r="M21" s="31">
        <f t="shared" si="4"/>
        <v>0</v>
      </c>
      <c r="N21" s="31">
        <f t="shared" si="4"/>
        <v>0</v>
      </c>
    </row>
    <row r="22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22" customHeight="1">
      <c r="A24" s="43" t="s">
        <v>131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34" t="s">
        <v>132</v>
      </c>
      <c r="B26" s="34" t="s">
        <v>133</v>
      </c>
      <c r="C26" s="34" t="s">
        <v>134</v>
      </c>
      <c r="D26" s="34" t="s">
        <v>135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>
      <c r="A27" s="11" t="s">
        <v>136</v>
      </c>
      <c r="B27" s="21">
        <f>MAX(ABS(C21),ABS(D21),ABS(E21),ABS(F21),ABS(G21),ABS(H21),ABS(I21),ABS(J21),ABS(K21),ABS(L21),ABS(M21),ABS(N21))</f>
        <v>0</v>
      </c>
      <c r="C27" s="21">
        <v>1</v>
      </c>
      <c r="D27" s="11" t="str">
        <f>IF(B27&lt;=C27,"OK","FAIL")</f>
        <v>OK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</row>
  </sheetData>
  <mergeCells count="5">
    <mergeCell ref="A1:N1"/>
    <mergeCell ref="A2:N2"/>
    <mergeCell ref="A7:N7"/>
    <mergeCell ref="A13:N13"/>
    <mergeCell ref="A24:N24"/>
  </mergeCells>
  <conditionalFormatting sqref="D27">
    <cfRule type="containsText" dxfId="5" priority="1" operator="containsText" text="OK"/>
    <cfRule type="containsText" dxfId="4" priority="2" operator="containsText" text="FAIL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3"/>
  <sheetViews>
    <sheetView showGridLines="0" zoomScale="200" workbookViewId="0">
      <selection activeCell="A14" sqref="A14"/>
    </sheetView>
  </sheetViews>
  <sheetFormatPr baseColWidth="10" defaultColWidth="8.83203125" defaultRowHeight="15"/>
  <cols>
    <col min="1" max="1" width="39" customWidth="1"/>
    <col min="2" max="2" width="15" customWidth="1"/>
    <col min="3" max="14" width="13" customWidth="1"/>
  </cols>
  <sheetData>
    <row r="1" spans="1:14" ht="32" customHeight="1">
      <c r="A1" s="41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0" customHeight="1">
      <c r="A2" s="42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4" customHeight="1">
      <c r="A5" s="2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5" t="s">
        <v>15</v>
      </c>
    </row>
    <row r="6" spans="1:1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2" customHeight="1">
      <c r="A7" s="43" t="s">
        <v>139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>
      <c r="A8" s="11" t="s">
        <v>96</v>
      </c>
      <c r="B8" s="11" t="s">
        <v>41</v>
      </c>
      <c r="C8" s="29">
        <f>'Profit &amp; Loss'!C26</f>
        <v>-20570233.333333332</v>
      </c>
      <c r="D8" s="29">
        <f>'Profit &amp; Loss'!D26</f>
        <v>-23497017.388473269</v>
      </c>
      <c r="E8" s="29">
        <f>'Profit &amp; Loss'!E26</f>
        <v>-24623628.577141024</v>
      </c>
      <c r="F8" s="29">
        <f>'Profit &amp; Loss'!F26</f>
        <v>-22242221.610023897</v>
      </c>
      <c r="G8" s="29">
        <f>'Profit &amp; Loss'!G26</f>
        <v>-15710818.09367365</v>
      </c>
      <c r="H8" s="29">
        <f>'Profit &amp; Loss'!H26</f>
        <v>-3652620.0752242506</v>
      </c>
      <c r="I8" s="29">
        <f>'Profit &amp; Loss'!I26</f>
        <v>8498954.845641356</v>
      </c>
      <c r="J8" s="29">
        <f>'Profit &amp; Loss'!J26</f>
        <v>15445791.905863866</v>
      </c>
      <c r="K8" s="29">
        <f>'Profit &amp; Loss'!K26</f>
        <v>22673993.732845355</v>
      </c>
      <c r="L8" s="29">
        <f>'Profit &amp; Loss'!L26</f>
        <v>25600836.725744475</v>
      </c>
      <c r="M8" s="29">
        <f>'Profit &amp; Loss'!M26</f>
        <v>29527457.398398232</v>
      </c>
      <c r="N8" s="29">
        <f>'Profit &amp; Loss'!N26</f>
        <v>30340425.783947475</v>
      </c>
    </row>
    <row r="9" spans="1:14">
      <c r="A9" s="11" t="s">
        <v>91</v>
      </c>
      <c r="B9" s="11" t="s">
        <v>41</v>
      </c>
      <c r="C9" s="29">
        <f>'Profit &amp; Loss'!C21</f>
        <v>2333333.3333333335</v>
      </c>
      <c r="D9" s="29">
        <f>'Profit &amp; Loss'!D21</f>
        <v>2666666.6666666665</v>
      </c>
      <c r="E9" s="29">
        <f>'Profit &amp; Loss'!E21</f>
        <v>3083333.3333333335</v>
      </c>
      <c r="F9" s="29">
        <f>'Profit &amp; Loss'!F21</f>
        <v>3583333.3333333335</v>
      </c>
      <c r="G9" s="29">
        <f>'Profit &amp; Loss'!G21</f>
        <v>5916666.666666667</v>
      </c>
      <c r="H9" s="29">
        <f>'Profit &amp; Loss'!H21</f>
        <v>6500000</v>
      </c>
      <c r="I9" s="29">
        <f>'Profit &amp; Loss'!I21</f>
        <v>6916666.666666667</v>
      </c>
      <c r="J9" s="29">
        <f>'Profit &amp; Loss'!J21</f>
        <v>7250000</v>
      </c>
      <c r="K9" s="29">
        <f>'Profit &amp; Loss'!K21</f>
        <v>7583333.333333333</v>
      </c>
      <c r="L9" s="29">
        <f>'Profit &amp; Loss'!L21</f>
        <v>7916666.666666667</v>
      </c>
      <c r="M9" s="29">
        <f>'Profit &amp; Loss'!M21</f>
        <v>8250000</v>
      </c>
      <c r="N9" s="29">
        <f>'Profit &amp; Loss'!N21</f>
        <v>8583333.333333334</v>
      </c>
    </row>
    <row r="10" spans="1:14">
      <c r="A10" s="11" t="s">
        <v>140</v>
      </c>
      <c r="B10" s="11" t="s">
        <v>41</v>
      </c>
      <c r="C10" s="29">
        <f>-'Balance Sheet'!C9</f>
        <v>-1200000</v>
      </c>
      <c r="D10" s="29">
        <f>-('Balance Sheet'!D9-'Balance Sheet'!C9)</f>
        <v>-1932502.2086</v>
      </c>
      <c r="E10" s="29">
        <f>-('Balance Sheet'!E9-'Balance Sheet'!D9)</f>
        <v>-2941773.0117642158</v>
      </c>
      <c r="F10" s="29">
        <f>-('Balance Sheet'!F9-'Balance Sheet'!E9)</f>
        <v>-3598342.7816364625</v>
      </c>
      <c r="G10" s="29">
        <f>-('Balance Sheet'!G9-'Balance Sheet'!F9)</f>
        <v>-3968723.6243598592</v>
      </c>
      <c r="H10" s="29">
        <f>-('Balance Sheet'!H9-'Balance Sheet'!G9)</f>
        <v>-2940687.232470192</v>
      </c>
      <c r="I10" s="29">
        <f>-('Balance Sheet'!I9-'Balance Sheet'!H9)</f>
        <v>-2556236.7479013521</v>
      </c>
      <c r="J10" s="29">
        <f>-('Balance Sheet'!J9-'Balance Sheet'!I9)</f>
        <v>-1257124.5947275795</v>
      </c>
      <c r="K10" s="29">
        <f>-('Balance Sheet'!K9-'Balance Sheet'!J9)</f>
        <v>-1623426.463009838</v>
      </c>
      <c r="L10" s="29">
        <f>-('Balance Sheet'!L9-'Balance Sheet'!K9)</f>
        <v>-408345.79302666336</v>
      </c>
      <c r="M10" s="29">
        <f>-('Balance Sheet'!M9-'Balance Sheet'!L9)</f>
        <v>-891861.26264165342</v>
      </c>
      <c r="N10" s="29">
        <f>-('Balance Sheet'!N9-'Balance Sheet'!M9)</f>
        <v>-106797.24892485887</v>
      </c>
    </row>
    <row r="11" spans="1:14">
      <c r="A11" s="11" t="s">
        <v>141</v>
      </c>
      <c r="B11" s="11" t="s">
        <v>41</v>
      </c>
      <c r="C11" s="29">
        <f>'Balance Sheet'!C14</f>
        <v>2597644.4444444445</v>
      </c>
      <c r="D11" s="29">
        <f>'Balance Sheet'!D14-'Balance Sheet'!C14</f>
        <v>520657.48283702182</v>
      </c>
      <c r="E11" s="29">
        <f>'Balance Sheet'!E14-'Balance Sheet'!D14</f>
        <v>657850.52541161608</v>
      </c>
      <c r="F11" s="29">
        <f>'Balance Sheet'!F14-'Balance Sheet'!E14</f>
        <v>691694.89928314183</v>
      </c>
      <c r="G11" s="29">
        <f>'Balance Sheet'!G14-'Balance Sheet'!F14</f>
        <v>742467.93289153557</v>
      </c>
      <c r="H11" s="29">
        <f>'Balance Sheet'!H14-'Balance Sheet'!G14</f>
        <v>253737.26335776784</v>
      </c>
      <c r="I11" s="29">
        <f>'Balance Sheet'!I14-'Balance Sheet'!H14</f>
        <v>89558.589667169377</v>
      </c>
      <c r="J11" s="29">
        <f>'Balance Sheet'!J14-'Balance Sheet'!I14</f>
        <v>30883.822757289745</v>
      </c>
      <c r="K11" s="29">
        <f>'Balance Sheet'!K14-'Balance Sheet'!J14</f>
        <v>10212.882172275335</v>
      </c>
      <c r="L11" s="29">
        <f>'Balance Sheet'!L14-'Balance Sheet'!K14</f>
        <v>4081.3556530512869</v>
      </c>
      <c r="M11" s="29">
        <f>'Balance Sheet'!M14-'Balance Sheet'!L14</f>
        <v>-2377.8463645698503</v>
      </c>
      <c r="N11" s="29">
        <f>'Balance Sheet'!N14-'Balance Sheet'!M14</f>
        <v>16696.586857689545</v>
      </c>
    </row>
    <row r="12" spans="1:14">
      <c r="A12" s="19" t="s">
        <v>142</v>
      </c>
      <c r="B12" s="19" t="s">
        <v>41</v>
      </c>
      <c r="C12" s="20">
        <f t="shared" ref="C12:N12" si="0">SUM(C8:C11)</f>
        <v>-16839255.555555556</v>
      </c>
      <c r="D12" s="20">
        <f t="shared" si="0"/>
        <v>-22242195.447569579</v>
      </c>
      <c r="E12" s="20">
        <f t="shared" si="0"/>
        <v>-23824217.730160292</v>
      </c>
      <c r="F12" s="20">
        <f t="shared" si="0"/>
        <v>-21565536.159043886</v>
      </c>
      <c r="G12" s="20">
        <f t="shared" si="0"/>
        <v>-13020407.118475307</v>
      </c>
      <c r="H12" s="20">
        <f t="shared" si="0"/>
        <v>160429.95566332527</v>
      </c>
      <c r="I12" s="20">
        <f t="shared" si="0"/>
        <v>12948943.354073841</v>
      </c>
      <c r="J12" s="20">
        <f t="shared" si="0"/>
        <v>21469551.133893576</v>
      </c>
      <c r="K12" s="20">
        <f t="shared" si="0"/>
        <v>28644113.485341124</v>
      </c>
      <c r="L12" s="20">
        <f t="shared" si="0"/>
        <v>33113238.955037531</v>
      </c>
      <c r="M12" s="20">
        <f t="shared" si="0"/>
        <v>36883218.289392009</v>
      </c>
      <c r="N12" s="20">
        <f t="shared" si="0"/>
        <v>38833658.455213644</v>
      </c>
    </row>
    <row r="13" spans="1:14">
      <c r="A13" s="11" t="s">
        <v>99</v>
      </c>
      <c r="B13" s="11" t="s">
        <v>41</v>
      </c>
      <c r="C13" s="29">
        <f>'Unit Economics'!C20</f>
        <v>28000000</v>
      </c>
      <c r="D13" s="29">
        <f>'Unit Economics'!D20</f>
        <v>4000000</v>
      </c>
      <c r="E13" s="29">
        <f>'Unit Economics'!E20</f>
        <v>5000000</v>
      </c>
      <c r="F13" s="29">
        <f>'Unit Economics'!F20</f>
        <v>6000000</v>
      </c>
      <c r="G13" s="29">
        <f>'Unit Economics'!G20</f>
        <v>28000000</v>
      </c>
      <c r="H13" s="29">
        <f>'Unit Economics'!H20</f>
        <v>7000000</v>
      </c>
      <c r="I13" s="29">
        <f>'Unit Economics'!I20</f>
        <v>5000000</v>
      </c>
      <c r="J13" s="29">
        <f>'Unit Economics'!J20</f>
        <v>4000000</v>
      </c>
      <c r="K13" s="29">
        <f>'Unit Economics'!K20</f>
        <v>4000000</v>
      </c>
      <c r="L13" s="29">
        <f>'Unit Economics'!L20</f>
        <v>4000000</v>
      </c>
      <c r="M13" s="29">
        <f>'Unit Economics'!M20</f>
        <v>4000000</v>
      </c>
      <c r="N13" s="29">
        <f>'Unit Economics'!N20</f>
        <v>4000000</v>
      </c>
    </row>
    <row r="14" spans="1:14">
      <c r="A14" s="22" t="s">
        <v>143</v>
      </c>
      <c r="B14" s="22" t="s">
        <v>41</v>
      </c>
      <c r="C14" s="31">
        <f t="shared" ref="C14:N14" si="1">C12-C13</f>
        <v>-44839255.555555552</v>
      </c>
      <c r="D14" s="31">
        <f t="shared" si="1"/>
        <v>-26242195.447569579</v>
      </c>
      <c r="E14" s="31">
        <f t="shared" si="1"/>
        <v>-28824217.730160292</v>
      </c>
      <c r="F14" s="31">
        <f t="shared" si="1"/>
        <v>-27565536.159043886</v>
      </c>
      <c r="G14" s="31">
        <f t="shared" si="1"/>
        <v>-41020407.118475303</v>
      </c>
      <c r="H14" s="31">
        <f t="shared" si="1"/>
        <v>-6839570.0443366747</v>
      </c>
      <c r="I14" s="31">
        <f t="shared" si="1"/>
        <v>7948943.3540738411</v>
      </c>
      <c r="J14" s="31">
        <f t="shared" si="1"/>
        <v>17469551.133893576</v>
      </c>
      <c r="K14" s="31">
        <f t="shared" si="1"/>
        <v>24644113.485341124</v>
      </c>
      <c r="L14" s="31">
        <f t="shared" si="1"/>
        <v>29113238.955037531</v>
      </c>
      <c r="M14" s="31">
        <f t="shared" si="1"/>
        <v>32883218.289392009</v>
      </c>
      <c r="N14" s="31">
        <f t="shared" si="1"/>
        <v>34833658.455213644</v>
      </c>
    </row>
    <row r="15" spans="1:14">
      <c r="A15" s="11" t="s">
        <v>144</v>
      </c>
      <c r="B15" s="11" t="s">
        <v>41</v>
      </c>
      <c r="C15" s="29">
        <f>'Unit Economics'!C24+'Unit Economics'!C27-'Unit Economics'!C25-'Unit Economics'!C28</f>
        <v>45000000</v>
      </c>
      <c r="D15" s="29">
        <f>'Unit Economics'!D24+'Unit Economics'!D27-'Unit Economics'!D25-'Unit Economics'!D28</f>
        <v>0</v>
      </c>
      <c r="E15" s="29">
        <f>'Unit Economics'!E24+'Unit Economics'!E27-'Unit Economics'!E25-'Unit Economics'!E28</f>
        <v>0</v>
      </c>
      <c r="F15" s="29">
        <f>'Unit Economics'!F24+'Unit Economics'!F27-'Unit Economics'!F25-'Unit Economics'!F28</f>
        <v>0</v>
      </c>
      <c r="G15" s="29">
        <f>'Unit Economics'!G24+'Unit Economics'!G27-'Unit Economics'!G25-'Unit Economics'!G28</f>
        <v>29375000</v>
      </c>
      <c r="H15" s="29">
        <f>'Unit Economics'!H24+'Unit Economics'!H27-'Unit Economics'!H25-'Unit Economics'!H28</f>
        <v>-5625000</v>
      </c>
      <c r="I15" s="29">
        <f>'Unit Economics'!I24+'Unit Economics'!I27-'Unit Economics'!I25-'Unit Economics'!I28</f>
        <v>-11458333</v>
      </c>
      <c r="J15" s="29">
        <f>'Unit Economics'!J24+'Unit Economics'!J27-'Unit Economics'!J25-'Unit Economics'!J28</f>
        <v>-11458333</v>
      </c>
      <c r="K15" s="29">
        <f>'Unit Economics'!K24+'Unit Economics'!K27-'Unit Economics'!K25-'Unit Economics'!K28</f>
        <v>-11458333</v>
      </c>
      <c r="L15" s="29">
        <f>'Unit Economics'!L24+'Unit Economics'!L27-'Unit Economics'!L25-'Unit Economics'!L28</f>
        <v>-11458333</v>
      </c>
      <c r="M15" s="29">
        <f>'Unit Economics'!M24+'Unit Economics'!M27-'Unit Economics'!M25-'Unit Economics'!M28</f>
        <v>-11458333</v>
      </c>
      <c r="N15" s="29">
        <f>'Unit Economics'!N24+'Unit Economics'!N27-'Unit Economics'!N25-'Unit Economics'!N28</f>
        <v>-11458335</v>
      </c>
    </row>
    <row r="16" spans="1:14">
      <c r="A16" s="11" t="s">
        <v>145</v>
      </c>
      <c r="B16" s="11" t="s">
        <v>41</v>
      </c>
      <c r="C16" s="18">
        <f t="shared" ref="C16:N16" si="2">C14+C15</f>
        <v>160744.44444444776</v>
      </c>
      <c r="D16" s="18">
        <f t="shared" si="2"/>
        <v>-26242195.447569579</v>
      </c>
      <c r="E16" s="18">
        <f t="shared" si="2"/>
        <v>-28824217.730160292</v>
      </c>
      <c r="F16" s="18">
        <f t="shared" si="2"/>
        <v>-27565536.159043886</v>
      </c>
      <c r="G16" s="18">
        <f t="shared" si="2"/>
        <v>-11645407.118475303</v>
      </c>
      <c r="H16" s="18">
        <f t="shared" si="2"/>
        <v>-12464570.044336675</v>
      </c>
      <c r="I16" s="18">
        <f t="shared" si="2"/>
        <v>-3509389.6459261589</v>
      </c>
      <c r="J16" s="18">
        <f t="shared" si="2"/>
        <v>6011218.1338935755</v>
      </c>
      <c r="K16" s="18">
        <f t="shared" si="2"/>
        <v>13185780.485341124</v>
      </c>
      <c r="L16" s="18">
        <f t="shared" si="2"/>
        <v>17654905.955037531</v>
      </c>
      <c r="M16" s="18">
        <f t="shared" si="2"/>
        <v>21424885.289392009</v>
      </c>
      <c r="N16" s="18">
        <f t="shared" si="2"/>
        <v>23375323.455213644</v>
      </c>
    </row>
    <row r="17" spans="1:14">
      <c r="A17" s="22" t="s">
        <v>146</v>
      </c>
      <c r="B17" s="22" t="s">
        <v>41</v>
      </c>
      <c r="C17" s="35">
        <f>'Unit Economics'!C31+C16</f>
        <v>120160744.44444445</v>
      </c>
      <c r="D17" s="35">
        <f t="shared" ref="D17:N17" si="3">C17+D16</f>
        <v>93918548.996874869</v>
      </c>
      <c r="E17" s="35">
        <f t="shared" si="3"/>
        <v>65094331.266714573</v>
      </c>
      <c r="F17" s="35">
        <f t="shared" si="3"/>
        <v>37528795.107670687</v>
      </c>
      <c r="G17" s="35">
        <f t="shared" si="3"/>
        <v>25883387.989195384</v>
      </c>
      <c r="H17" s="35">
        <f t="shared" si="3"/>
        <v>13418817.944858709</v>
      </c>
      <c r="I17" s="35">
        <f t="shared" si="3"/>
        <v>9909428.2989325505</v>
      </c>
      <c r="J17" s="35">
        <f t="shared" si="3"/>
        <v>15920646.432826126</v>
      </c>
      <c r="K17" s="35">
        <f t="shared" si="3"/>
        <v>29106426.918167248</v>
      </c>
      <c r="L17" s="35">
        <f t="shared" si="3"/>
        <v>46761332.873204783</v>
      </c>
      <c r="M17" s="35">
        <f t="shared" si="3"/>
        <v>68186218.162596792</v>
      </c>
      <c r="N17" s="35">
        <f t="shared" si="3"/>
        <v>91561541.617810428</v>
      </c>
    </row>
    <row r="18" spans="1:1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22" customHeight="1">
      <c r="A20" s="43" t="s">
        <v>147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>
      <c r="A22" s="19" t="s">
        <v>148</v>
      </c>
      <c r="B22" s="19" t="s">
        <v>22</v>
      </c>
      <c r="C22" s="13">
        <v>0.22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>
      <c r="A23" s="19" t="s">
        <v>149</v>
      </c>
      <c r="B23" s="19" t="s">
        <v>22</v>
      </c>
      <c r="C23" s="13">
        <v>0.05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22" customHeight="1">
      <c r="A26" s="43" t="s">
        <v>150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>
      <c r="A28" s="11" t="s">
        <v>90</v>
      </c>
      <c r="B28" s="11" t="s">
        <v>41</v>
      </c>
      <c r="C28" s="29">
        <f>'Profit &amp; Loss'!C20</f>
        <v>-17449400</v>
      </c>
      <c r="D28" s="29">
        <f>'Profit &amp; Loss'!D20</f>
        <v>-19255350.721806601</v>
      </c>
      <c r="E28" s="29">
        <f>'Profit &amp; Loss'!E20</f>
        <v>-19965295.243807692</v>
      </c>
      <c r="F28" s="29">
        <f>'Profit &amp; Loss'!F20</f>
        <v>-17083888.276690565</v>
      </c>
      <c r="G28" s="29">
        <f>'Profit &amp; Loss'!G20</f>
        <v>-7617588.9270069823</v>
      </c>
      <c r="H28" s="29">
        <f>'Profit &amp; Loss'!H20</f>
        <v>5527067.4247757494</v>
      </c>
      <c r="I28" s="29">
        <f>'Profit &amp; Loss'!I20</f>
        <v>19906506.063718364</v>
      </c>
      <c r="J28" s="29">
        <f>'Profit &amp; Loss'!J20</f>
        <v>28493177.402329832</v>
      </c>
      <c r="K28" s="29">
        <f>'Profit &amp; Loss'!K20</f>
        <v>37431554.699390024</v>
      </c>
      <c r="L28" s="29">
        <f>'Profit &amp; Loss'!L20</f>
        <v>40993233.453847259</v>
      </c>
      <c r="M28" s="29">
        <f>'Profit &amp; Loss'!M20</f>
        <v>45804634.307997793</v>
      </c>
      <c r="N28" s="29">
        <f>'Profit &amp; Loss'!N20</f>
        <v>46723969.763267681</v>
      </c>
    </row>
    <row r="29" spans="1:14">
      <c r="A29" s="11" t="s">
        <v>91</v>
      </c>
      <c r="B29" s="11" t="s">
        <v>41</v>
      </c>
      <c r="C29" s="29">
        <f>'Profit &amp; Loss'!C21</f>
        <v>2333333.3333333335</v>
      </c>
      <c r="D29" s="29">
        <f>'Profit &amp; Loss'!D21</f>
        <v>2666666.6666666665</v>
      </c>
      <c r="E29" s="29">
        <f>'Profit &amp; Loss'!E21</f>
        <v>3083333.3333333335</v>
      </c>
      <c r="F29" s="29">
        <f>'Profit &amp; Loss'!F21</f>
        <v>3583333.3333333335</v>
      </c>
      <c r="G29" s="29">
        <f>'Profit &amp; Loss'!G21</f>
        <v>5916666.666666667</v>
      </c>
      <c r="H29" s="29">
        <f>'Profit &amp; Loss'!H21</f>
        <v>6500000</v>
      </c>
      <c r="I29" s="29">
        <f>'Profit &amp; Loss'!I21</f>
        <v>6916666.666666667</v>
      </c>
      <c r="J29" s="29">
        <f>'Profit &amp; Loss'!J21</f>
        <v>7250000</v>
      </c>
      <c r="K29" s="29">
        <f>'Profit &amp; Loss'!K21</f>
        <v>7583333.333333333</v>
      </c>
      <c r="L29" s="29">
        <f>'Profit &amp; Loss'!L21</f>
        <v>7916666.666666667</v>
      </c>
      <c r="M29" s="29">
        <f>'Profit &amp; Loss'!M21</f>
        <v>8250000</v>
      </c>
      <c r="N29" s="29">
        <f>'Profit &amp; Loss'!N21</f>
        <v>8583333.333333334</v>
      </c>
    </row>
    <row r="30" spans="1:14">
      <c r="A30" s="11" t="s">
        <v>92</v>
      </c>
      <c r="B30" s="11" t="s">
        <v>41</v>
      </c>
      <c r="C30" s="18">
        <f t="shared" ref="C30:N30" si="4">C28-C29</f>
        <v>-19782733.333333332</v>
      </c>
      <c r="D30" s="18">
        <f t="shared" si="4"/>
        <v>-21922017.388473269</v>
      </c>
      <c r="E30" s="18">
        <f t="shared" si="4"/>
        <v>-23048628.577141024</v>
      </c>
      <c r="F30" s="18">
        <f t="shared" si="4"/>
        <v>-20667221.610023897</v>
      </c>
      <c r="G30" s="18">
        <f t="shared" si="4"/>
        <v>-13534255.59367365</v>
      </c>
      <c r="H30" s="18">
        <f t="shared" si="4"/>
        <v>-972932.57522425056</v>
      </c>
      <c r="I30" s="18">
        <f t="shared" si="4"/>
        <v>12989839.397051696</v>
      </c>
      <c r="J30" s="18">
        <f t="shared" si="4"/>
        <v>21243177.402329832</v>
      </c>
      <c r="K30" s="18">
        <f t="shared" si="4"/>
        <v>29848221.366056692</v>
      </c>
      <c r="L30" s="18">
        <f t="shared" si="4"/>
        <v>33076566.787180591</v>
      </c>
      <c r="M30" s="18">
        <f t="shared" si="4"/>
        <v>37554634.307997793</v>
      </c>
      <c r="N30" s="18">
        <f t="shared" si="4"/>
        <v>38140636.429934345</v>
      </c>
    </row>
    <row r="31" spans="1:14">
      <c r="A31" s="11" t="s">
        <v>151</v>
      </c>
      <c r="B31" s="11" t="s">
        <v>41</v>
      </c>
      <c r="C31" s="29">
        <f>MAX(C30,0)*'Unit Economics'!C23</f>
        <v>0</v>
      </c>
      <c r="D31" s="29">
        <f>MAX(D30,0)*'Unit Economics'!D23</f>
        <v>0</v>
      </c>
      <c r="E31" s="29">
        <f>MAX(E30,0)*'Unit Economics'!E23</f>
        <v>0</v>
      </c>
      <c r="F31" s="29">
        <f>MAX(F30,0)*'Unit Economics'!F23</f>
        <v>0</v>
      </c>
      <c r="G31" s="29">
        <f>MAX(G30,0)*'Unit Economics'!G23</f>
        <v>0</v>
      </c>
      <c r="H31" s="29">
        <f>MAX(H30,0)*'Unit Economics'!H23</f>
        <v>0</v>
      </c>
      <c r="I31" s="29">
        <f>MAX(I30,0)*'Unit Economics'!I23</f>
        <v>2597967.8794103395</v>
      </c>
      <c r="J31" s="29">
        <f>MAX(J30,0)*'Unit Economics'!J23</f>
        <v>4248635.4804659663</v>
      </c>
      <c r="K31" s="29">
        <f>MAX(K30,0)*'Unit Economics'!K23</f>
        <v>5969644.2732113386</v>
      </c>
      <c r="L31" s="29">
        <f>MAX(L30,0)*'Unit Economics'!L23</f>
        <v>6615313.3574361186</v>
      </c>
      <c r="M31" s="29">
        <f>MAX(M30,0)*'Unit Economics'!M23</f>
        <v>7510926.861599559</v>
      </c>
      <c r="N31" s="29">
        <f>MAX(N30,0)*'Unit Economics'!N23</f>
        <v>7628127.2859868696</v>
      </c>
    </row>
    <row r="32" spans="1:14">
      <c r="A32" s="11" t="s">
        <v>152</v>
      </c>
      <c r="B32" s="11" t="s">
        <v>41</v>
      </c>
      <c r="C32" s="18">
        <f t="shared" ref="C32:N32" si="5">C30-C31</f>
        <v>-19782733.333333332</v>
      </c>
      <c r="D32" s="18">
        <f t="shared" si="5"/>
        <v>-21922017.388473269</v>
      </c>
      <c r="E32" s="18">
        <f t="shared" si="5"/>
        <v>-23048628.577141024</v>
      </c>
      <c r="F32" s="18">
        <f t="shared" si="5"/>
        <v>-20667221.610023897</v>
      </c>
      <c r="G32" s="18">
        <f t="shared" si="5"/>
        <v>-13534255.59367365</v>
      </c>
      <c r="H32" s="18">
        <f t="shared" si="5"/>
        <v>-972932.57522425056</v>
      </c>
      <c r="I32" s="18">
        <f t="shared" si="5"/>
        <v>10391871.517641356</v>
      </c>
      <c r="J32" s="18">
        <f t="shared" si="5"/>
        <v>16994541.921863865</v>
      </c>
      <c r="K32" s="18">
        <f t="shared" si="5"/>
        <v>23878577.092845354</v>
      </c>
      <c r="L32" s="18">
        <f t="shared" si="5"/>
        <v>26461253.429744475</v>
      </c>
      <c r="M32" s="18">
        <f t="shared" si="5"/>
        <v>30043707.446398236</v>
      </c>
      <c r="N32" s="18">
        <f t="shared" si="5"/>
        <v>30512509.143947475</v>
      </c>
    </row>
    <row r="33" spans="1:14">
      <c r="A33" s="11" t="s">
        <v>153</v>
      </c>
      <c r="B33" s="11" t="s">
        <v>41</v>
      </c>
      <c r="C33" s="18">
        <f t="shared" ref="C33:N33" si="6">C29</f>
        <v>2333333.3333333335</v>
      </c>
      <c r="D33" s="18">
        <f t="shared" si="6"/>
        <v>2666666.6666666665</v>
      </c>
      <c r="E33" s="18">
        <f t="shared" si="6"/>
        <v>3083333.3333333335</v>
      </c>
      <c r="F33" s="18">
        <f t="shared" si="6"/>
        <v>3583333.3333333335</v>
      </c>
      <c r="G33" s="18">
        <f t="shared" si="6"/>
        <v>5916666.666666667</v>
      </c>
      <c r="H33" s="18">
        <f t="shared" si="6"/>
        <v>6500000</v>
      </c>
      <c r="I33" s="18">
        <f t="shared" si="6"/>
        <v>6916666.666666667</v>
      </c>
      <c r="J33" s="18">
        <f t="shared" si="6"/>
        <v>7250000</v>
      </c>
      <c r="K33" s="18">
        <f t="shared" si="6"/>
        <v>7583333.333333333</v>
      </c>
      <c r="L33" s="18">
        <f t="shared" si="6"/>
        <v>7916666.666666667</v>
      </c>
      <c r="M33" s="18">
        <f t="shared" si="6"/>
        <v>8250000</v>
      </c>
      <c r="N33" s="18">
        <f t="shared" si="6"/>
        <v>8583333.333333334</v>
      </c>
    </row>
    <row r="34" spans="1:14">
      <c r="A34" s="11" t="s">
        <v>99</v>
      </c>
      <c r="B34" s="11" t="s">
        <v>41</v>
      </c>
      <c r="C34" s="29">
        <f>'Unit Economics'!C20</f>
        <v>28000000</v>
      </c>
      <c r="D34" s="29">
        <f>'Unit Economics'!D20</f>
        <v>4000000</v>
      </c>
      <c r="E34" s="29">
        <f>'Unit Economics'!E20</f>
        <v>5000000</v>
      </c>
      <c r="F34" s="29">
        <f>'Unit Economics'!F20</f>
        <v>6000000</v>
      </c>
      <c r="G34" s="29">
        <f>'Unit Economics'!G20</f>
        <v>28000000</v>
      </c>
      <c r="H34" s="29">
        <f>'Unit Economics'!H20</f>
        <v>7000000</v>
      </c>
      <c r="I34" s="29">
        <f>'Unit Economics'!I20</f>
        <v>5000000</v>
      </c>
      <c r="J34" s="29">
        <f>'Unit Economics'!J20</f>
        <v>4000000</v>
      </c>
      <c r="K34" s="29">
        <f>'Unit Economics'!K20</f>
        <v>4000000</v>
      </c>
      <c r="L34" s="29">
        <f>'Unit Economics'!L20</f>
        <v>4000000</v>
      </c>
      <c r="M34" s="29">
        <f>'Unit Economics'!M20</f>
        <v>4000000</v>
      </c>
      <c r="N34" s="29">
        <f>'Unit Economics'!N20</f>
        <v>4000000</v>
      </c>
    </row>
    <row r="35" spans="1:14">
      <c r="A35" s="11" t="s">
        <v>154</v>
      </c>
      <c r="B35" s="11" t="s">
        <v>41</v>
      </c>
      <c r="C35" s="29">
        <f>'Balance Sheet'!C9-'Balance Sheet'!C14</f>
        <v>-1397644.4444444445</v>
      </c>
      <c r="D35" s="29">
        <f>('Balance Sheet'!D9-'Balance Sheet'!D14)-('Balance Sheet'!C9-'Balance Sheet'!C14)</f>
        <v>1411844.7257629782</v>
      </c>
      <c r="E35" s="29">
        <f>('Balance Sheet'!E9-'Balance Sheet'!E14)-('Balance Sheet'!D9-'Balance Sheet'!D14)</f>
        <v>2283922.4863525997</v>
      </c>
      <c r="F35" s="29">
        <f>('Balance Sheet'!F9-'Balance Sheet'!F14)-('Balance Sheet'!E9-'Balance Sheet'!E14)</f>
        <v>2906647.8823533207</v>
      </c>
      <c r="G35" s="29">
        <f>('Balance Sheet'!G9-'Balance Sheet'!G14)-('Balance Sheet'!F9-'Balance Sheet'!F14)</f>
        <v>3226255.6914683236</v>
      </c>
      <c r="H35" s="29">
        <f>('Balance Sheet'!H9-'Balance Sheet'!H14)-('Balance Sheet'!G9-'Balance Sheet'!G14)</f>
        <v>2686949.9691124242</v>
      </c>
      <c r="I35" s="29">
        <f>('Balance Sheet'!I9-'Balance Sheet'!I14)-('Balance Sheet'!H9-'Balance Sheet'!H14)</f>
        <v>2466678.1582341827</v>
      </c>
      <c r="J35" s="29">
        <f>('Balance Sheet'!J9-'Balance Sheet'!J14)-('Balance Sheet'!I9-'Balance Sheet'!I14)</f>
        <v>1226240.7719702907</v>
      </c>
      <c r="K35" s="29">
        <f>('Balance Sheet'!K9-'Balance Sheet'!K14)-('Balance Sheet'!J9-'Balance Sheet'!J14)</f>
        <v>1613213.5808375627</v>
      </c>
      <c r="L35" s="29">
        <f>('Balance Sheet'!L9-'Balance Sheet'!L14)-('Balance Sheet'!K9-'Balance Sheet'!K14)</f>
        <v>404264.43737361208</v>
      </c>
      <c r="M35" s="29">
        <f>('Balance Sheet'!M9-'Balance Sheet'!M14)-('Balance Sheet'!L9-'Balance Sheet'!L14)</f>
        <v>894239.10900622234</v>
      </c>
      <c r="N35" s="29">
        <f>('Balance Sheet'!N9-'Balance Sheet'!N14)-('Balance Sheet'!M9-'Balance Sheet'!M14)</f>
        <v>90100.662067171186</v>
      </c>
    </row>
    <row r="36" spans="1:14">
      <c r="A36" s="22" t="s">
        <v>155</v>
      </c>
      <c r="B36" s="22" t="s">
        <v>41</v>
      </c>
      <c r="C36" s="31">
        <f t="shared" ref="C36:N36" si="7">C32+C33-C34-C35</f>
        <v>-44051755.555555552</v>
      </c>
      <c r="D36" s="31">
        <f t="shared" si="7"/>
        <v>-24667195.447569579</v>
      </c>
      <c r="E36" s="31">
        <f t="shared" si="7"/>
        <v>-27249217.730160292</v>
      </c>
      <c r="F36" s="31">
        <f t="shared" si="7"/>
        <v>-25990536.159043886</v>
      </c>
      <c r="G36" s="31">
        <f t="shared" si="7"/>
        <v>-38843844.618475303</v>
      </c>
      <c r="H36" s="31">
        <f t="shared" si="7"/>
        <v>-4159882.5443366747</v>
      </c>
      <c r="I36" s="31">
        <f t="shared" si="7"/>
        <v>9841860.0260738395</v>
      </c>
      <c r="J36" s="31">
        <f t="shared" si="7"/>
        <v>19018301.149893574</v>
      </c>
      <c r="K36" s="31">
        <f t="shared" si="7"/>
        <v>25848696.845341124</v>
      </c>
      <c r="L36" s="31">
        <f t="shared" si="7"/>
        <v>29973655.659037527</v>
      </c>
      <c r="M36" s="31">
        <f t="shared" si="7"/>
        <v>33399468.337392014</v>
      </c>
      <c r="N36" s="31">
        <f t="shared" si="7"/>
        <v>35005741.815213636</v>
      </c>
    </row>
    <row r="37" spans="1:14">
      <c r="A37" s="11" t="s">
        <v>156</v>
      </c>
      <c r="B37" s="11" t="s">
        <v>157</v>
      </c>
      <c r="C37" s="36">
        <f>1/4</f>
        <v>0.25</v>
      </c>
      <c r="D37" s="36">
        <f>2/4</f>
        <v>0.5</v>
      </c>
      <c r="E37" s="36">
        <f>3/4</f>
        <v>0.75</v>
      </c>
      <c r="F37" s="36">
        <f>4/4</f>
        <v>1</v>
      </c>
      <c r="G37" s="36">
        <f>5/4</f>
        <v>1.25</v>
      </c>
      <c r="H37" s="36">
        <f>6/4</f>
        <v>1.5</v>
      </c>
      <c r="I37" s="36">
        <f>7/4</f>
        <v>1.75</v>
      </c>
      <c r="J37" s="36">
        <f>8/4</f>
        <v>2</v>
      </c>
      <c r="K37" s="36">
        <f>9/4</f>
        <v>2.25</v>
      </c>
      <c r="L37" s="36">
        <f>10/4</f>
        <v>2.5</v>
      </c>
      <c r="M37" s="36">
        <f>11/4</f>
        <v>2.75</v>
      </c>
      <c r="N37" s="36">
        <f>12/4</f>
        <v>3</v>
      </c>
    </row>
    <row r="38" spans="1:14">
      <c r="A38" s="11" t="s">
        <v>158</v>
      </c>
      <c r="B38" s="11" t="s">
        <v>72</v>
      </c>
      <c r="C38" s="37">
        <f t="shared" ref="C38:N38" si="8">1/(1+$C$22)^C37</f>
        <v>0.9515027380019383</v>
      </c>
      <c r="D38" s="37">
        <f t="shared" si="8"/>
        <v>0.90535746042518528</v>
      </c>
      <c r="E38" s="37">
        <f t="shared" si="8"/>
        <v>0.86145010246504539</v>
      </c>
      <c r="F38" s="37">
        <f t="shared" si="8"/>
        <v>0.81967213114754101</v>
      </c>
      <c r="G38" s="37">
        <f t="shared" si="8"/>
        <v>0.77992027705076916</v>
      </c>
      <c r="H38" s="37">
        <f t="shared" si="8"/>
        <v>0.74209627903703723</v>
      </c>
      <c r="I38" s="37">
        <f t="shared" si="8"/>
        <v>0.70610664136479129</v>
      </c>
      <c r="J38" s="37">
        <f t="shared" si="8"/>
        <v>0.67186240257995167</v>
      </c>
      <c r="K38" s="37">
        <f t="shared" si="8"/>
        <v>0.63927891561538464</v>
      </c>
      <c r="L38" s="37">
        <f t="shared" si="8"/>
        <v>0.60827563855494848</v>
      </c>
      <c r="M38" s="37">
        <f t="shared" si="8"/>
        <v>0.57877593554491091</v>
      </c>
      <c r="N38" s="37">
        <f t="shared" si="8"/>
        <v>0.55070688736061613</v>
      </c>
    </row>
    <row r="39" spans="1:14">
      <c r="A39" s="11" t="s">
        <v>159</v>
      </c>
      <c r="B39" s="11" t="s">
        <v>41</v>
      </c>
      <c r="C39" s="18">
        <f t="shared" ref="C39:N39" si="9">C36*C38</f>
        <v>-41915366.024903208</v>
      </c>
      <c r="D39" s="18">
        <f t="shared" si="9"/>
        <v>-22332629.426223285</v>
      </c>
      <c r="E39" s="18">
        <f t="shared" si="9"/>
        <v>-23473841.405738916</v>
      </c>
      <c r="F39" s="18">
        <f t="shared" si="9"/>
        <v>-21303718.163150728</v>
      </c>
      <c r="G39" s="18">
        <f t="shared" si="9"/>
        <v>-30295102.056558289</v>
      </c>
      <c r="H39" s="18">
        <f t="shared" si="9"/>
        <v>-3087033.3573833695</v>
      </c>
      <c r="I39" s="18">
        <f t="shared" si="9"/>
        <v>6949402.7277933965</v>
      </c>
      <c r="J39" s="18">
        <f t="shared" si="9"/>
        <v>12777681.503556555</v>
      </c>
      <c r="K39" s="18">
        <f t="shared" si="9"/>
        <v>16524526.889360487</v>
      </c>
      <c r="L39" s="18">
        <f t="shared" si="9"/>
        <v>18232244.535827197</v>
      </c>
      <c r="M39" s="18">
        <f t="shared" si="9"/>
        <v>19330808.533676691</v>
      </c>
      <c r="N39" s="18">
        <f t="shared" si="9"/>
        <v>19277903.114805665</v>
      </c>
    </row>
    <row r="40" spans="1:14">
      <c r="A40" s="11" t="s">
        <v>160</v>
      </c>
      <c r="B40" s="11" t="s">
        <v>41</v>
      </c>
      <c r="C40" s="18">
        <f>0</f>
        <v>0</v>
      </c>
      <c r="D40" s="18">
        <f>0</f>
        <v>0</v>
      </c>
      <c r="E40" s="18">
        <f>0</f>
        <v>0</v>
      </c>
      <c r="F40" s="18">
        <f>0</f>
        <v>0</v>
      </c>
      <c r="G40" s="18">
        <f>0</f>
        <v>0</v>
      </c>
      <c r="H40" s="18">
        <f>0</f>
        <v>0</v>
      </c>
      <c r="I40" s="18">
        <f>0</f>
        <v>0</v>
      </c>
      <c r="J40" s="18">
        <f>0</f>
        <v>0</v>
      </c>
      <c r="K40" s="18">
        <f>0</f>
        <v>0</v>
      </c>
      <c r="L40" s="18">
        <f>0</f>
        <v>0</v>
      </c>
      <c r="M40" s="18">
        <f>0</f>
        <v>0</v>
      </c>
      <c r="N40" s="18">
        <f>N36*4*(1+$C$23)/($C$22-$C$23)</f>
        <v>864847738.96410179</v>
      </c>
    </row>
    <row r="41" spans="1:14">
      <c r="A41" s="11" t="s">
        <v>161</v>
      </c>
      <c r="B41" s="11" t="s">
        <v>41</v>
      </c>
      <c r="C41" s="18">
        <f>0</f>
        <v>0</v>
      </c>
      <c r="D41" s="18">
        <f>0</f>
        <v>0</v>
      </c>
      <c r="E41" s="18">
        <f>0</f>
        <v>0</v>
      </c>
      <c r="F41" s="18">
        <f>0</f>
        <v>0</v>
      </c>
      <c r="G41" s="18">
        <f>0</f>
        <v>0</v>
      </c>
      <c r="H41" s="18">
        <f>0</f>
        <v>0</v>
      </c>
      <c r="I41" s="18">
        <f>0</f>
        <v>0</v>
      </c>
      <c r="J41" s="18">
        <f>0</f>
        <v>0</v>
      </c>
      <c r="K41" s="18">
        <f>0</f>
        <v>0</v>
      </c>
      <c r="L41" s="18">
        <f>0</f>
        <v>0</v>
      </c>
      <c r="M41" s="18">
        <f>0</f>
        <v>0</v>
      </c>
      <c r="N41" s="18">
        <f>N40*N38</f>
        <v>476277606.36578715</v>
      </c>
    </row>
    <row r="42" spans="1:14">
      <c r="A42" s="19" t="s">
        <v>162</v>
      </c>
      <c r="B42" s="19" t="s">
        <v>41</v>
      </c>
      <c r="C42" s="20">
        <f>0</f>
        <v>0</v>
      </c>
      <c r="D42" s="20">
        <f>0</f>
        <v>0</v>
      </c>
      <c r="E42" s="20">
        <f>0</f>
        <v>0</v>
      </c>
      <c r="F42" s="20">
        <f>0</f>
        <v>0</v>
      </c>
      <c r="G42" s="20">
        <f>0</f>
        <v>0</v>
      </c>
      <c r="H42" s="20">
        <f>0</f>
        <v>0</v>
      </c>
      <c r="I42" s="20">
        <f>0</f>
        <v>0</v>
      </c>
      <c r="J42" s="20">
        <f>0</f>
        <v>0</v>
      </c>
      <c r="K42" s="20">
        <f>0</f>
        <v>0</v>
      </c>
      <c r="L42" s="20">
        <f>0</f>
        <v>0</v>
      </c>
      <c r="M42" s="20">
        <f>0</f>
        <v>0</v>
      </c>
      <c r="N42" s="20">
        <f>SUM(C39:N39)+N41</f>
        <v>426962483.23684931</v>
      </c>
    </row>
    <row r="43" spans="1:14">
      <c r="A43" s="19" t="s">
        <v>163</v>
      </c>
      <c r="B43" s="19" t="s">
        <v>41</v>
      </c>
      <c r="C43" s="38">
        <f>0</f>
        <v>0</v>
      </c>
      <c r="D43" s="38">
        <f>0</f>
        <v>0</v>
      </c>
      <c r="E43" s="38">
        <f>0</f>
        <v>0</v>
      </c>
      <c r="F43" s="38">
        <f>0</f>
        <v>0</v>
      </c>
      <c r="G43" s="38">
        <f>0</f>
        <v>0</v>
      </c>
      <c r="H43" s="38">
        <f>0</f>
        <v>0</v>
      </c>
      <c r="I43" s="38">
        <f>0</f>
        <v>0</v>
      </c>
      <c r="J43" s="38">
        <f>0</f>
        <v>0</v>
      </c>
      <c r="K43" s="38">
        <f>0</f>
        <v>0</v>
      </c>
      <c r="L43" s="38">
        <f>0</f>
        <v>0</v>
      </c>
      <c r="M43" s="38">
        <f>0</f>
        <v>0</v>
      </c>
      <c r="N43" s="38">
        <f>'Balance Sheet'!N8</f>
        <v>91561541.617810428</v>
      </c>
    </row>
    <row r="44" spans="1:14">
      <c r="A44" s="19" t="s">
        <v>164</v>
      </c>
      <c r="B44" s="19" t="s">
        <v>41</v>
      </c>
      <c r="C44" s="38">
        <f>0</f>
        <v>0</v>
      </c>
      <c r="D44" s="38">
        <f>0</f>
        <v>0</v>
      </c>
      <c r="E44" s="38">
        <f>0</f>
        <v>0</v>
      </c>
      <c r="F44" s="38">
        <f>0</f>
        <v>0</v>
      </c>
      <c r="G44" s="38">
        <f>0</f>
        <v>0</v>
      </c>
      <c r="H44" s="38">
        <f>0</f>
        <v>0</v>
      </c>
      <c r="I44" s="38">
        <f>0</f>
        <v>0</v>
      </c>
      <c r="J44" s="38">
        <f>0</f>
        <v>0</v>
      </c>
      <c r="K44" s="38">
        <f>0</f>
        <v>0</v>
      </c>
      <c r="L44" s="38">
        <f>0</f>
        <v>0</v>
      </c>
      <c r="M44" s="38">
        <f>0</f>
        <v>0</v>
      </c>
      <c r="N44" s="38">
        <f>'Balance Sheet'!N15</f>
        <v>0</v>
      </c>
    </row>
    <row r="45" spans="1:14">
      <c r="A45" s="19" t="s">
        <v>165</v>
      </c>
      <c r="B45" s="19" t="s">
        <v>41</v>
      </c>
      <c r="C45" s="20">
        <f>0</f>
        <v>0</v>
      </c>
      <c r="D45" s="20">
        <f>0</f>
        <v>0</v>
      </c>
      <c r="E45" s="20">
        <f>0</f>
        <v>0</v>
      </c>
      <c r="F45" s="20">
        <f>0</f>
        <v>0</v>
      </c>
      <c r="G45" s="20">
        <f>0</f>
        <v>0</v>
      </c>
      <c r="H45" s="20">
        <f>0</f>
        <v>0</v>
      </c>
      <c r="I45" s="20">
        <f>0</f>
        <v>0</v>
      </c>
      <c r="J45" s="20">
        <f>0</f>
        <v>0</v>
      </c>
      <c r="K45" s="20">
        <f>0</f>
        <v>0</v>
      </c>
      <c r="L45" s="20">
        <f>0</f>
        <v>0</v>
      </c>
      <c r="M45" s="20">
        <f>0</f>
        <v>0</v>
      </c>
      <c r="N45" s="20">
        <f>N42+N43-N44</f>
        <v>518524024.85465974</v>
      </c>
    </row>
    <row r="46" spans="1:1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2" customHeight="1">
      <c r="A48" s="43" t="s">
        <v>166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>
      <c r="A50" s="34" t="s">
        <v>132</v>
      </c>
      <c r="B50" s="34" t="s">
        <v>133</v>
      </c>
      <c r="C50" s="34" t="s">
        <v>167</v>
      </c>
      <c r="D50" s="34" t="s">
        <v>135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>
      <c r="A51" s="11" t="s">
        <v>168</v>
      </c>
      <c r="B51" s="18">
        <f>MAX(C14:H14)</f>
        <v>-6839570.0443366747</v>
      </c>
      <c r="C51" s="11" t="s">
        <v>169</v>
      </c>
      <c r="D51" s="11" t="str">
        <f>IF(B51&lt;0,"OK","FAIL")</f>
        <v>OK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>
      <c r="A52" s="11" t="s">
        <v>170</v>
      </c>
      <c r="B52" s="18">
        <f>MIN(I14:N14)</f>
        <v>7948943.3540738411</v>
      </c>
      <c r="C52" s="11" t="s">
        <v>171</v>
      </c>
      <c r="D52" s="11" t="str">
        <f>IF(B52&gt;0,"OK","FAIL")</f>
        <v>OK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>
      <c r="A53" s="11" t="s">
        <v>172</v>
      </c>
      <c r="B53" s="18">
        <f>ABS(N17-'Balance Sheet'!N8)</f>
        <v>0</v>
      </c>
      <c r="C53" s="11" t="s">
        <v>173</v>
      </c>
      <c r="D53" s="11" t="str">
        <f>IF(B53&lt;=1,"OK","FAIL")</f>
        <v>OK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</row>
  </sheetData>
  <mergeCells count="6">
    <mergeCell ref="A48:N48"/>
    <mergeCell ref="A1:N1"/>
    <mergeCell ref="A2:N2"/>
    <mergeCell ref="A7:N7"/>
    <mergeCell ref="A20:N20"/>
    <mergeCell ref="A26:N26"/>
  </mergeCells>
  <conditionalFormatting sqref="D51:D53">
    <cfRule type="containsText" dxfId="3" priority="1" operator="containsText" text="OK"/>
    <cfRule type="containsText" dxfId="2" priority="2" operator="containsText" text="FAIL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showGridLines="0" tabSelected="1" topLeftCell="A2" zoomScale="118" workbookViewId="0">
      <selection activeCell="B21" sqref="B21"/>
    </sheetView>
  </sheetViews>
  <sheetFormatPr baseColWidth="10" defaultColWidth="8.83203125" defaultRowHeight="15"/>
  <cols>
    <col min="1" max="1" width="39" customWidth="1"/>
    <col min="2" max="2" width="18" customWidth="1"/>
    <col min="3" max="3" width="14" customWidth="1"/>
    <col min="4" max="4" width="25" customWidth="1"/>
    <col min="5" max="5" width="16" customWidth="1"/>
    <col min="6" max="8" width="13" customWidth="1"/>
  </cols>
  <sheetData>
    <row r="1" spans="1:8" ht="32" customHeight="1">
      <c r="A1" s="41" t="s">
        <v>174</v>
      </c>
      <c r="B1" s="41"/>
      <c r="C1" s="41"/>
      <c r="D1" s="41"/>
      <c r="E1" s="41"/>
      <c r="F1" s="41"/>
      <c r="G1" s="41"/>
      <c r="H1" s="41"/>
    </row>
    <row r="2" spans="1:8" ht="32" customHeight="1">
      <c r="A2" s="44" t="s">
        <v>175</v>
      </c>
      <c r="B2" s="44"/>
      <c r="C2" s="44"/>
      <c r="D2" s="44"/>
      <c r="E2" s="44"/>
      <c r="F2" s="44"/>
      <c r="G2" s="44"/>
      <c r="H2" s="44"/>
    </row>
    <row r="3" spans="1:8">
      <c r="A3" s="1"/>
      <c r="B3" s="1"/>
      <c r="C3" s="1"/>
      <c r="D3" s="1"/>
      <c r="E3" s="1"/>
      <c r="F3" s="1"/>
      <c r="G3" s="1"/>
      <c r="H3" s="1"/>
    </row>
    <row r="4" spans="1:8" ht="22" customHeight="1">
      <c r="A4" s="45" t="s">
        <v>176</v>
      </c>
      <c r="B4" s="45"/>
      <c r="C4" s="45"/>
      <c r="D4" s="45"/>
      <c r="E4" s="45"/>
      <c r="F4" s="45"/>
      <c r="G4" s="45"/>
      <c r="H4" s="45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6" t="s">
        <v>57</v>
      </c>
      <c r="B6" s="39">
        <f>'Unit Economics'!N42</f>
        <v>285.54095145552907</v>
      </c>
      <c r="C6" s="1"/>
      <c r="D6" s="33" t="s">
        <v>177</v>
      </c>
      <c r="E6" s="33" t="s">
        <v>178</v>
      </c>
      <c r="F6" s="1"/>
      <c r="G6" s="1"/>
      <c r="H6" s="1"/>
    </row>
    <row r="7" spans="1:8">
      <c r="A7" s="6" t="s">
        <v>19</v>
      </c>
      <c r="B7" s="10">
        <f>'Unit Economics'!N9</f>
        <v>95000</v>
      </c>
      <c r="C7" s="1"/>
      <c r="D7" s="6" t="s">
        <v>179</v>
      </c>
      <c r="E7" s="9">
        <f>B14/B16</f>
        <v>3.3550614117678452</v>
      </c>
      <c r="F7" s="1"/>
      <c r="G7" s="1"/>
      <c r="H7" s="1"/>
    </row>
    <row r="8" spans="1:8">
      <c r="A8" s="6" t="s">
        <v>180</v>
      </c>
      <c r="B8" s="28">
        <f>'Unit Economics'!N45</f>
        <v>27126390.388275262</v>
      </c>
      <c r="C8" s="1"/>
      <c r="D8" s="6" t="s">
        <v>181</v>
      </c>
      <c r="E8" s="9">
        <f>B14/B15</f>
        <v>1.1052081970558718</v>
      </c>
      <c r="F8" s="1"/>
      <c r="G8" s="1"/>
      <c r="H8" s="1"/>
    </row>
    <row r="9" spans="1:8">
      <c r="A9" s="6" t="s">
        <v>182</v>
      </c>
      <c r="B9" s="40">
        <v>10</v>
      </c>
      <c r="C9" s="1"/>
      <c r="D9" s="6" t="s">
        <v>183</v>
      </c>
      <c r="E9" s="9">
        <f>B14/B18</f>
        <v>2.5588764226703478</v>
      </c>
      <c r="F9" s="1"/>
      <c r="G9" s="1"/>
      <c r="H9" s="1"/>
    </row>
    <row r="10" spans="1:8">
      <c r="A10" s="6" t="s">
        <v>184</v>
      </c>
      <c r="B10" s="28">
        <f>B8*B9</f>
        <v>271263903.8827526</v>
      </c>
      <c r="C10" s="1"/>
      <c r="D10" s="6" t="s">
        <v>185</v>
      </c>
      <c r="E10" s="9">
        <f>B10/B17</f>
        <v>1.5867711096748414</v>
      </c>
      <c r="F10" s="1"/>
      <c r="G10" s="1"/>
      <c r="H10" s="1"/>
    </row>
    <row r="11" spans="1:8">
      <c r="A11" s="6" t="s">
        <v>186</v>
      </c>
      <c r="B11" s="28">
        <f>'Balance Sheet'!N8</f>
        <v>91561541.617810428</v>
      </c>
      <c r="C11" s="1"/>
      <c r="D11" s="6" t="s">
        <v>187</v>
      </c>
      <c r="E11" s="9">
        <f>B10/B19</f>
        <v>0.83333333333333326</v>
      </c>
      <c r="F11" s="1"/>
      <c r="G11" s="1"/>
      <c r="H11" s="1"/>
    </row>
    <row r="12" spans="1:8">
      <c r="A12" s="6" t="s">
        <v>188</v>
      </c>
      <c r="B12" s="28">
        <f>'Balance Sheet'!N15</f>
        <v>0</v>
      </c>
      <c r="C12" s="1"/>
      <c r="D12" s="1"/>
      <c r="E12" s="1"/>
      <c r="F12" s="1"/>
      <c r="G12" s="1"/>
      <c r="H12" s="1"/>
    </row>
    <row r="13" spans="1:8">
      <c r="A13" s="6" t="s">
        <v>189</v>
      </c>
      <c r="B13" s="28">
        <f>B11-B12</f>
        <v>91561541.617810428</v>
      </c>
      <c r="C13" s="1"/>
      <c r="D13" s="1"/>
      <c r="E13" s="1"/>
      <c r="F13" s="1"/>
      <c r="G13" s="1"/>
      <c r="H13" s="1"/>
    </row>
    <row r="14" spans="1:8">
      <c r="A14" s="6" t="s">
        <v>190</v>
      </c>
      <c r="B14" s="28">
        <f>B10+B13</f>
        <v>362825445.50056303</v>
      </c>
      <c r="C14" s="1"/>
      <c r="D14" s="33" t="s">
        <v>191</v>
      </c>
      <c r="E14" s="33" t="s">
        <v>41</v>
      </c>
      <c r="F14" s="1"/>
      <c r="G14" s="1"/>
      <c r="H14" s="1"/>
    </row>
    <row r="15" spans="1:8">
      <c r="A15" s="6" t="s">
        <v>192</v>
      </c>
      <c r="B15" s="28">
        <f>SUM('Profit &amp; Loss'!K10:N10)</f>
        <v>328286965.72019815</v>
      </c>
      <c r="C15" s="1"/>
      <c r="D15" s="6" t="s">
        <v>193</v>
      </c>
      <c r="E15" s="28">
        <f>B10</f>
        <v>271263903.8827526</v>
      </c>
      <c r="F15" s="1"/>
      <c r="G15" s="1"/>
      <c r="H15" s="1"/>
    </row>
    <row r="16" spans="1:8">
      <c r="A16" s="6" t="s">
        <v>194</v>
      </c>
      <c r="B16" s="28">
        <f>SUM('Profit &amp; Loss'!K26:N26)</f>
        <v>108142713.64093554</v>
      </c>
      <c r="C16" s="1"/>
      <c r="D16" s="6" t="s">
        <v>162</v>
      </c>
      <c r="E16" s="28">
        <f>'Cash Flow'!N42</f>
        <v>426962483.23684931</v>
      </c>
      <c r="F16" s="1"/>
      <c r="G16" s="1"/>
      <c r="H16" s="1"/>
    </row>
    <row r="17" spans="1:8">
      <c r="A17" s="6" t="s">
        <v>195</v>
      </c>
      <c r="B17" s="28">
        <f>SUM('Profit &amp; Loss'!K20:N20)</f>
        <v>170953392.22450274</v>
      </c>
      <c r="C17" s="1"/>
      <c r="D17" s="6" t="s">
        <v>165</v>
      </c>
      <c r="E17" s="28">
        <f>'Cash Flow'!N45</f>
        <v>518524024.85465974</v>
      </c>
      <c r="F17" s="1"/>
      <c r="G17" s="1"/>
      <c r="H17" s="1"/>
    </row>
    <row r="18" spans="1:8">
      <c r="A18" s="6" t="s">
        <v>196</v>
      </c>
      <c r="B18" s="28">
        <f>'Balance Sheet'!N19</f>
        <v>141790921.31457132</v>
      </c>
      <c r="C18" s="1"/>
      <c r="D18" s="1"/>
      <c r="E18" s="1"/>
      <c r="F18" s="1"/>
      <c r="G18" s="1"/>
      <c r="H18" s="1"/>
    </row>
    <row r="19" spans="1:8">
      <c r="A19" s="6" t="s">
        <v>197</v>
      </c>
      <c r="B19" s="28">
        <f>B8*12</f>
        <v>325516684.65930313</v>
      </c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 ht="22" customHeight="1">
      <c r="A22" s="45" t="s">
        <v>198</v>
      </c>
      <c r="B22" s="45"/>
      <c r="C22" s="45"/>
      <c r="D22" s="45"/>
      <c r="E22" s="45"/>
      <c r="F22" s="45"/>
      <c r="G22" s="45"/>
      <c r="H22" s="45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33" t="s">
        <v>132</v>
      </c>
      <c r="B24" s="33" t="s">
        <v>133</v>
      </c>
      <c r="C24" s="33" t="s">
        <v>167</v>
      </c>
      <c r="D24" s="33" t="s">
        <v>134</v>
      </c>
      <c r="E24" s="33" t="s">
        <v>135</v>
      </c>
      <c r="F24" s="1"/>
      <c r="G24" s="1"/>
      <c r="H24" s="1"/>
    </row>
    <row r="25" spans="1:8">
      <c r="A25" s="1" t="s">
        <v>199</v>
      </c>
      <c r="B25" s="7">
        <f>MAX(ABS('Balance Sheet'!C21),ABS('Balance Sheet'!D21),ABS('Balance Sheet'!E21),ABS('Balance Sheet'!F21),ABS('Balance Sheet'!G21),ABS('Balance Sheet'!H21),ABS('Balance Sheet'!I21),ABS('Balance Sheet'!J21),ABS('Balance Sheet'!K21),ABS('Balance Sheet'!L21),ABS('Balance Sheet'!M21),ABS('Balance Sheet'!N21))</f>
        <v>0</v>
      </c>
      <c r="C25" s="7">
        <v>0</v>
      </c>
      <c r="D25" s="7">
        <v>1</v>
      </c>
      <c r="E25" s="1" t="str">
        <f>IF(ABS(B25-C25)&lt;=D25,"OK","FAIL")</f>
        <v>OK</v>
      </c>
      <c r="F25" s="1"/>
      <c r="G25" s="1"/>
      <c r="H25" s="1"/>
    </row>
    <row r="26" spans="1:8">
      <c r="A26" s="1" t="s">
        <v>200</v>
      </c>
      <c r="B26" s="7">
        <f>SUM('Profit &amp; Loss'!G26:J26)</f>
        <v>4581308.5826073214</v>
      </c>
      <c r="C26" s="7" t="s">
        <v>171</v>
      </c>
      <c r="D26" s="7">
        <v>0</v>
      </c>
      <c r="E26" s="1" t="str">
        <f>IF(B26&gt;0,"OK","FAIL")</f>
        <v>OK</v>
      </c>
      <c r="F26" s="1"/>
      <c r="G26" s="1"/>
      <c r="H26" s="1"/>
    </row>
    <row r="27" spans="1:8">
      <c r="A27" s="1" t="s">
        <v>201</v>
      </c>
      <c r="B27" s="7">
        <f>MAX('Cash Flow'!C14:H14)</f>
        <v>-6839570.0443366747</v>
      </c>
      <c r="C27" s="7" t="s">
        <v>169</v>
      </c>
      <c r="D27" s="7">
        <v>0</v>
      </c>
      <c r="E27" s="1" t="str">
        <f>IF(B27&lt;0,"OK","FAIL")</f>
        <v>OK</v>
      </c>
      <c r="F27" s="1"/>
      <c r="G27" s="1"/>
      <c r="H27" s="1"/>
    </row>
    <row r="28" spans="1:8">
      <c r="A28" s="1" t="s">
        <v>202</v>
      </c>
      <c r="B28" s="7">
        <f>MIN('Cash Flow'!I14:N14)</f>
        <v>7948943.3540738411</v>
      </c>
      <c r="C28" s="7" t="s">
        <v>171</v>
      </c>
      <c r="D28" s="7">
        <v>0</v>
      </c>
      <c r="E28" s="1" t="str">
        <f>IF(B28&gt;0,"OK","FAIL")</f>
        <v>OK</v>
      </c>
      <c r="F28" s="1"/>
      <c r="G28" s="1"/>
      <c r="H28" s="1"/>
    </row>
    <row r="29" spans="1:8">
      <c r="A29" s="1" t="s">
        <v>203</v>
      </c>
      <c r="B29" s="7">
        <f>MIN('Unit Economics'!D42-'Unit Economics'!C42,'Unit Economics'!E42-'Unit Economics'!D42,'Unit Economics'!F42-'Unit Economics'!E42,'Unit Economics'!G42-'Unit Economics'!F42,'Unit Economics'!H42-'Unit Economics'!G42,'Unit Economics'!I42-'Unit Economics'!H42,'Unit Economics'!J42-'Unit Economics'!I42,'Unit Economics'!K42-'Unit Economics'!J42,'Unit Economics'!L42-'Unit Economics'!K42,'Unit Economics'!M42-'Unit Economics'!L42,'Unit Economics'!N42-'Unit Economics'!M42)</f>
        <v>1.1664257978958403</v>
      </c>
      <c r="C29" s="7" t="s">
        <v>171</v>
      </c>
      <c r="D29" s="7">
        <v>0</v>
      </c>
      <c r="E29" s="1" t="str">
        <f>IF(B29&gt;0,"OK","FAIL")</f>
        <v>OK</v>
      </c>
      <c r="F29" s="1"/>
      <c r="G29" s="1"/>
      <c r="H29" s="1"/>
    </row>
    <row r="30" spans="1:8">
      <c r="A30" s="1" t="s">
        <v>204</v>
      </c>
      <c r="B30" s="7">
        <f>MIN('Unit Economics'!C59:N59)</f>
        <v>62300</v>
      </c>
      <c r="C30" s="7" t="s">
        <v>171</v>
      </c>
      <c r="D30" s="7">
        <v>0</v>
      </c>
      <c r="E30" s="1" t="str">
        <f>IF(B30&gt;0,"OK","FAIL")</f>
        <v>OK</v>
      </c>
      <c r="F30" s="1"/>
      <c r="G30" s="1"/>
      <c r="H30" s="1"/>
    </row>
    <row r="31" spans="1:8">
      <c r="A31" s="1" t="s">
        <v>205</v>
      </c>
      <c r="B31" s="7">
        <f>MIN('Unit Economics'!C65:N65)</f>
        <v>5</v>
      </c>
      <c r="C31" s="7" t="s">
        <v>206</v>
      </c>
      <c r="D31" s="7">
        <v>0</v>
      </c>
      <c r="E31" s="1" t="str">
        <f>IF(AND(B31&gt;=5,MAX('Unit Economics'!C65:N65)&lt;=10),"OK","FAIL")</f>
        <v>OK</v>
      </c>
      <c r="F31" s="1"/>
      <c r="G31" s="1"/>
      <c r="H31" s="1"/>
    </row>
    <row r="32" spans="1:8">
      <c r="A32" s="1" t="s">
        <v>207</v>
      </c>
      <c r="B32" s="7">
        <f>SUM('Unit Economics'!C24:N24,'Unit Economics'!C27:N27)</f>
        <v>80000000</v>
      </c>
      <c r="C32" s="7">
        <v>80000000</v>
      </c>
      <c r="D32" s="7">
        <v>1</v>
      </c>
      <c r="E32" s="1" t="str">
        <f>IF(AND(ABS(B32-C32)&lt;=D32,'Unit Economics'!C24=45000000,'Unit Economics'!G27=35000000),"OK","FAIL")</f>
        <v>OK</v>
      </c>
      <c r="F32" s="1"/>
      <c r="G32" s="1"/>
      <c r="H32" s="1"/>
    </row>
    <row r="33" spans="1:8">
      <c r="A33" s="1" t="s">
        <v>208</v>
      </c>
      <c r="B33" s="7">
        <f>B10/B8</f>
        <v>10</v>
      </c>
      <c r="C33" s="7">
        <v>10</v>
      </c>
      <c r="D33" s="7">
        <v>1E-4</v>
      </c>
      <c r="E33" s="1" t="str">
        <f>IF(ABS(B33-C33)&lt;=D33,"OK","FAIL")</f>
        <v>OK</v>
      </c>
      <c r="F33" s="1"/>
      <c r="G33" s="1"/>
      <c r="H33" s="1"/>
    </row>
    <row r="34" spans="1:8">
      <c r="A34" s="8" t="s">
        <v>209</v>
      </c>
      <c r="B34" s="8"/>
      <c r="C34" s="8"/>
      <c r="D34" s="8"/>
      <c r="E34" s="8" t="str">
        <f>IF(COUNTIF(E25:E33,"FAIL")=0,"PASS","FAIL")</f>
        <v>PASS</v>
      </c>
      <c r="F34" s="1"/>
      <c r="G34" s="1"/>
      <c r="H34" s="1"/>
    </row>
  </sheetData>
  <mergeCells count="4">
    <mergeCell ref="A1:H1"/>
    <mergeCell ref="A2:H2"/>
    <mergeCell ref="A4:H4"/>
    <mergeCell ref="A22:H22"/>
  </mergeCells>
  <conditionalFormatting sqref="E25:E34">
    <cfRule type="containsText" dxfId="1" priority="1" operator="containsText" text="OK"/>
    <cfRule type="containsText" dxfId="0" priority="3" operator="containsText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Unit Economics</vt:lpstr>
      <vt:lpstr>Profit &amp; Loss</vt:lpstr>
      <vt:lpstr>Balance Sheet</vt:lpstr>
      <vt:lpstr>Cash Flow</vt:lpstr>
      <vt:lpstr>Business 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2026-07-22T06:24:50Z</dcterms:modified>
</cp:coreProperties>
</file>