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ximpopov/Developer/IU/Actual Course/Course website/lectures7-8/"/>
    </mc:Choice>
  </mc:AlternateContent>
  <xr:revisionPtr revIDLastSave="0" documentId="13_ncr:1_{FF7354D3-D6FD-2348-B7AE-D37C0FA43E2B}" xr6:coauthVersionLast="47" xr6:coauthVersionMax="47" xr10:uidLastSave="{00000000-0000-0000-0000-000000000000}"/>
  <bookViews>
    <workbookView xWindow="0" yWindow="600" windowWidth="18940" windowHeight="14760" xr2:uid="{00000000-000D-0000-FFFF-FFFF00000000}"/>
  </bookViews>
  <sheets>
    <sheet name="UE" sheetId="1" r:id="rId1"/>
    <sheet name="fin.model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2" l="1"/>
  <c r="O41" i="2" s="1"/>
  <c r="N42" i="2"/>
  <c r="M42" i="2"/>
  <c r="M41" i="2" s="1"/>
  <c r="L42" i="2"/>
  <c r="L41" i="2" s="1"/>
  <c r="K42" i="2"/>
  <c r="K41" i="2" s="1"/>
  <c r="J42" i="2"/>
  <c r="J41" i="2" s="1"/>
  <c r="I42" i="2"/>
  <c r="I41" i="2" s="1"/>
  <c r="H42" i="2"/>
  <c r="H41" i="2" s="1"/>
  <c r="G42" i="2"/>
  <c r="G41" i="2" s="1"/>
  <c r="F42" i="2"/>
  <c r="F41" i="2" s="1"/>
  <c r="E42" i="2"/>
  <c r="E41" i="2" s="1"/>
  <c r="N41" i="2"/>
  <c r="O40" i="2"/>
  <c r="O39" i="2" s="1"/>
  <c r="N40" i="2"/>
  <c r="N39" i="2" s="1"/>
  <c r="M40" i="2"/>
  <c r="M39" i="2" s="1"/>
  <c r="L40" i="2"/>
  <c r="L39" i="2" s="1"/>
  <c r="K40" i="2"/>
  <c r="K39" i="2" s="1"/>
  <c r="J40" i="2"/>
  <c r="J39" i="2" s="1"/>
  <c r="I40" i="2"/>
  <c r="I39" i="2" s="1"/>
  <c r="H40" i="2"/>
  <c r="H39" i="2" s="1"/>
  <c r="G40" i="2"/>
  <c r="G39" i="2" s="1"/>
  <c r="F40" i="2"/>
  <c r="F39" i="2" s="1"/>
  <c r="E40" i="2"/>
  <c r="E39" i="2" s="1"/>
  <c r="E38" i="2"/>
  <c r="D38" i="2"/>
  <c r="O36" i="2"/>
  <c r="N36" i="2"/>
  <c r="M36" i="2"/>
  <c r="L36" i="2"/>
  <c r="K36" i="2"/>
  <c r="J36" i="2"/>
  <c r="I36" i="2"/>
  <c r="H36" i="2"/>
  <c r="G36" i="2"/>
  <c r="F36" i="2"/>
  <c r="E36" i="2"/>
  <c r="D36" i="2"/>
  <c r="O27" i="2"/>
  <c r="N27" i="2"/>
  <c r="M27" i="2"/>
  <c r="L27" i="2"/>
  <c r="K27" i="2"/>
  <c r="J27" i="2"/>
  <c r="I27" i="2"/>
  <c r="H27" i="2"/>
  <c r="G27" i="2"/>
  <c r="F27" i="2"/>
  <c r="E27" i="2"/>
  <c r="D27" i="2"/>
  <c r="O26" i="2"/>
  <c r="N26" i="2"/>
  <c r="M26" i="2"/>
  <c r="L26" i="2"/>
  <c r="K26" i="2"/>
  <c r="J26" i="2"/>
  <c r="I26" i="2"/>
  <c r="H26" i="2"/>
  <c r="G26" i="2"/>
  <c r="F26" i="2"/>
  <c r="E26" i="2"/>
  <c r="D26" i="2"/>
  <c r="O23" i="2"/>
  <c r="N23" i="2"/>
  <c r="M23" i="2"/>
  <c r="L23" i="2"/>
  <c r="K23" i="2"/>
  <c r="J23" i="2"/>
  <c r="I23" i="2"/>
  <c r="H23" i="2"/>
  <c r="G23" i="2"/>
  <c r="F23" i="2"/>
  <c r="E23" i="2"/>
  <c r="D23" i="2"/>
  <c r="O10" i="2"/>
  <c r="N10" i="2"/>
  <c r="M10" i="2"/>
  <c r="L10" i="2"/>
  <c r="K10" i="2"/>
  <c r="J10" i="2"/>
  <c r="I10" i="2"/>
  <c r="H10" i="2"/>
  <c r="G10" i="2"/>
  <c r="F10" i="2"/>
  <c r="E10" i="2"/>
  <c r="D10" i="2"/>
  <c r="O9" i="2"/>
  <c r="N9" i="2"/>
  <c r="M9" i="2"/>
  <c r="L9" i="2"/>
  <c r="K9" i="2"/>
  <c r="J9" i="2"/>
  <c r="I9" i="2"/>
  <c r="H9" i="2"/>
  <c r="G9" i="2"/>
  <c r="F9" i="2"/>
  <c r="E9" i="2"/>
  <c r="D9" i="2"/>
  <c r="O8" i="2"/>
  <c r="N8" i="2"/>
  <c r="M8" i="2"/>
  <c r="L8" i="2"/>
  <c r="K8" i="2"/>
  <c r="J8" i="2"/>
  <c r="I8" i="2"/>
  <c r="H8" i="2"/>
  <c r="G8" i="2"/>
  <c r="F8" i="2"/>
  <c r="E8" i="2"/>
  <c r="D8" i="2"/>
  <c r="O7" i="2"/>
  <c r="N7" i="2"/>
  <c r="M7" i="2"/>
  <c r="L7" i="2"/>
  <c r="K7" i="2"/>
  <c r="J7" i="2"/>
  <c r="I7" i="2"/>
  <c r="H7" i="2"/>
  <c r="G7" i="2"/>
  <c r="F7" i="2"/>
  <c r="E7" i="2"/>
  <c r="D7" i="2"/>
  <c r="O6" i="2"/>
  <c r="N6" i="2"/>
  <c r="M6" i="2"/>
  <c r="L6" i="2"/>
  <c r="K6" i="2"/>
  <c r="J6" i="2"/>
  <c r="I6" i="2"/>
  <c r="H6" i="2"/>
  <c r="G6" i="2"/>
  <c r="F6" i="2"/>
  <c r="E6" i="2"/>
  <c r="D6" i="2"/>
  <c r="D27" i="1"/>
  <c r="D18" i="1"/>
  <c r="D14" i="1"/>
  <c r="D15" i="1" s="1"/>
  <c r="D10" i="1"/>
  <c r="O29" i="2" s="1"/>
  <c r="D19" i="1" l="1"/>
  <c r="O5" i="2"/>
  <c r="J5" i="2"/>
  <c r="J37" i="2"/>
  <c r="G5" i="2"/>
  <c r="K37" i="2"/>
  <c r="G37" i="2"/>
  <c r="D5" i="2"/>
  <c r="O37" i="2"/>
  <c r="I5" i="2"/>
  <c r="K5" i="2"/>
  <c r="H5" i="2"/>
  <c r="L5" i="2"/>
  <c r="H37" i="2"/>
  <c r="L37" i="2"/>
  <c r="E29" i="2"/>
  <c r="E30" i="2" s="1"/>
  <c r="E14" i="2" s="1"/>
  <c r="M5" i="2"/>
  <c r="M37" i="2"/>
  <c r="H29" i="2"/>
  <c r="H30" i="2" s="1"/>
  <c r="F5" i="2"/>
  <c r="N5" i="2"/>
  <c r="F37" i="2"/>
  <c r="N37" i="2"/>
  <c r="K29" i="2"/>
  <c r="K30" i="2" s="1"/>
  <c r="D37" i="2"/>
  <c r="D35" i="2" s="1"/>
  <c r="E5" i="2"/>
  <c r="E37" i="2"/>
  <c r="E35" i="2" s="1"/>
  <c r="E43" i="2" s="1"/>
  <c r="I37" i="2"/>
  <c r="M29" i="2"/>
  <c r="I29" i="2"/>
  <c r="I30" i="2" s="1"/>
  <c r="I14" i="2" s="1"/>
  <c r="M30" i="2"/>
  <c r="M14" i="2" s="1"/>
  <c r="D23" i="1"/>
  <c r="J29" i="2"/>
  <c r="J30" i="2" s="1"/>
  <c r="J14" i="2" s="1"/>
  <c r="O30" i="2"/>
  <c r="O14" i="2" s="1"/>
  <c r="O13" i="2" s="1"/>
  <c r="D28" i="1"/>
  <c r="D29" i="2"/>
  <c r="D30" i="2" s="1"/>
  <c r="D14" i="2" s="1"/>
  <c r="D13" i="2" s="1"/>
  <c r="L29" i="2"/>
  <c r="L30" i="2" s="1"/>
  <c r="L14" i="2" s="1"/>
  <c r="D40" i="2"/>
  <c r="F29" i="2"/>
  <c r="N29" i="2"/>
  <c r="N30" i="2" s="1"/>
  <c r="N14" i="2" s="1"/>
  <c r="D20" i="1"/>
  <c r="G29" i="2"/>
  <c r="G30" i="2" s="1"/>
  <c r="G14" i="2" s="1"/>
  <c r="H14" i="2" l="1"/>
  <c r="H25" i="2"/>
  <c r="H31" i="2" s="1"/>
  <c r="K14" i="2"/>
  <c r="K25" i="2"/>
  <c r="K31" i="2" s="1"/>
  <c r="O25" i="2"/>
  <c r="O31" i="2" s="1"/>
  <c r="F30" i="2"/>
  <c r="F14" i="2" s="1"/>
  <c r="G38" i="2" s="1"/>
  <c r="G35" i="2" s="1"/>
  <c r="G43" i="2" s="1"/>
  <c r="L25" i="2"/>
  <c r="L31" i="2" s="1"/>
  <c r="J38" i="2"/>
  <c r="J35" i="2" s="1"/>
  <c r="J43" i="2" s="1"/>
  <c r="I13" i="2"/>
  <c r="D42" i="2"/>
  <c r="D39" i="2"/>
  <c r="J13" i="2"/>
  <c r="K38" i="2"/>
  <c r="K35" i="2" s="1"/>
  <c r="K43" i="2" s="1"/>
  <c r="N38" i="2"/>
  <c r="N35" i="2" s="1"/>
  <c r="N43" i="2" s="1"/>
  <c r="M13" i="2"/>
  <c r="J25" i="2"/>
  <c r="J31" i="2" s="1"/>
  <c r="I25" i="2"/>
  <c r="I31" i="2" s="1"/>
  <c r="M25" i="2"/>
  <c r="M31" i="2" s="1"/>
  <c r="G13" i="2"/>
  <c r="H38" i="2"/>
  <c r="H35" i="2" s="1"/>
  <c r="H43" i="2" s="1"/>
  <c r="M38" i="2"/>
  <c r="M35" i="2" s="1"/>
  <c r="M43" i="2" s="1"/>
  <c r="L13" i="2"/>
  <c r="O38" i="2"/>
  <c r="O35" i="2" s="1"/>
  <c r="O43" i="2" s="1"/>
  <c r="N13" i="2"/>
  <c r="G25" i="2"/>
  <c r="G31" i="2" s="1"/>
  <c r="K11" i="2"/>
  <c r="K12" i="2" s="1"/>
  <c r="J11" i="2"/>
  <c r="J12" i="2" s="1"/>
  <c r="H11" i="2"/>
  <c r="H12" i="2" s="1"/>
  <c r="O11" i="2"/>
  <c r="O12" i="2" s="1"/>
  <c r="D31" i="1" s="1"/>
  <c r="G11" i="2"/>
  <c r="G12" i="2" s="1"/>
  <c r="N11" i="2"/>
  <c r="N12" i="2" s="1"/>
  <c r="F11" i="2"/>
  <c r="F12" i="2" s="1"/>
  <c r="M11" i="2"/>
  <c r="M12" i="2" s="1"/>
  <c r="E11" i="2"/>
  <c r="E12" i="2" s="1"/>
  <c r="D25" i="2"/>
  <c r="D31" i="2" s="1"/>
  <c r="L11" i="2"/>
  <c r="L12" i="2" s="1"/>
  <c r="D11" i="2"/>
  <c r="D12" i="2" s="1"/>
  <c r="I11" i="2"/>
  <c r="I12" i="2" s="1"/>
  <c r="F38" i="2"/>
  <c r="F35" i="2" s="1"/>
  <c r="E13" i="2"/>
  <c r="N25" i="2"/>
  <c r="N31" i="2" s="1"/>
  <c r="E25" i="2"/>
  <c r="E31" i="2" s="1"/>
  <c r="F25" i="2" l="1"/>
  <c r="F31" i="2" s="1"/>
  <c r="F13" i="2"/>
  <c r="L38" i="2"/>
  <c r="L35" i="2" s="1"/>
  <c r="L43" i="2" s="1"/>
  <c r="K13" i="2"/>
  <c r="H13" i="2"/>
  <c r="I38" i="2"/>
  <c r="I35" i="2" s="1"/>
  <c r="I43" i="2" s="1"/>
  <c r="F43" i="2"/>
  <c r="D30" i="1"/>
  <c r="O16" i="2"/>
  <c r="G16" i="2"/>
  <c r="N16" i="2"/>
  <c r="F16" i="2"/>
  <c r="L16" i="2"/>
  <c r="D16" i="2"/>
  <c r="K16" i="2"/>
  <c r="J16" i="2"/>
  <c r="I16" i="2"/>
  <c r="D41" i="2"/>
  <c r="D43" i="2" s="1"/>
  <c r="D44" i="2" s="1"/>
  <c r="H16" i="2"/>
  <c r="M16" i="2"/>
  <c r="E16" i="2"/>
  <c r="K17" i="2"/>
  <c r="J17" i="2"/>
  <c r="H17" i="2"/>
  <c r="O17" i="2"/>
  <c r="G17" i="2"/>
  <c r="N17" i="2"/>
  <c r="F17" i="2"/>
  <c r="M17" i="2"/>
  <c r="E17" i="2"/>
  <c r="L17" i="2"/>
  <c r="D17" i="2"/>
  <c r="D21" i="1"/>
  <c r="I17" i="2"/>
  <c r="D29" i="1"/>
  <c r="D15" i="2" l="1"/>
  <c r="D18" i="2" s="1"/>
  <c r="L15" i="2"/>
  <c r="L18" i="2" s="1"/>
  <c r="K15" i="2"/>
  <c r="K18" i="2" s="1"/>
  <c r="I15" i="2"/>
  <c r="I18" i="2" s="1"/>
  <c r="O15" i="2"/>
  <c r="O18" i="2" s="1"/>
  <c r="E15" i="2"/>
  <c r="E18" i="2" s="1"/>
  <c r="G15" i="2"/>
  <c r="G18" i="2" s="1"/>
  <c r="J15" i="2"/>
  <c r="J18" i="2" s="1"/>
  <c r="D22" i="1"/>
  <c r="E44" i="2"/>
  <c r="D4" i="2"/>
  <c r="D3" i="2" s="1"/>
  <c r="D19" i="2" s="1"/>
  <c r="M15" i="2"/>
  <c r="M18" i="2" s="1"/>
  <c r="F15" i="2"/>
  <c r="F18" i="2" s="1"/>
  <c r="H15" i="2"/>
  <c r="H18" i="2" s="1"/>
  <c r="N15" i="2"/>
  <c r="N18" i="2" s="1"/>
  <c r="F44" i="2" l="1"/>
  <c r="E4" i="2"/>
  <c r="E3" i="2" s="1"/>
  <c r="E19" i="2" s="1"/>
  <c r="G44" i="2" l="1"/>
  <c r="F4" i="2"/>
  <c r="F3" i="2" s="1"/>
  <c r="F19" i="2" s="1"/>
  <c r="G4" i="2" l="1"/>
  <c r="G3" i="2" s="1"/>
  <c r="G19" i="2" s="1"/>
  <c r="H44" i="2"/>
  <c r="I44" i="2" l="1"/>
  <c r="H4" i="2"/>
  <c r="H3" i="2" s="1"/>
  <c r="H19" i="2" s="1"/>
  <c r="J44" i="2" l="1"/>
  <c r="I4" i="2"/>
  <c r="I3" i="2" s="1"/>
  <c r="I19" i="2" s="1"/>
  <c r="K44" i="2" l="1"/>
  <c r="J4" i="2"/>
  <c r="J3" i="2" s="1"/>
  <c r="J19" i="2" s="1"/>
  <c r="L44" i="2" l="1"/>
  <c r="K4" i="2"/>
  <c r="K3" i="2" s="1"/>
  <c r="K19" i="2" s="1"/>
  <c r="M44" i="2" l="1"/>
  <c r="L4" i="2"/>
  <c r="L3" i="2" s="1"/>
  <c r="L19" i="2" s="1"/>
  <c r="N44" i="2" l="1"/>
  <c r="M4" i="2"/>
  <c r="M3" i="2" s="1"/>
  <c r="M19" i="2" s="1"/>
  <c r="O44" i="2" l="1"/>
  <c r="O4" i="2" s="1"/>
  <c r="O3" i="2" s="1"/>
  <c r="O19" i="2" s="1"/>
  <c r="N4" i="2"/>
  <c r="N3" i="2" s="1"/>
  <c r="N19" i="2" s="1"/>
</calcChain>
</file>

<file path=xl/sharedStrings.xml><?xml version="1.0" encoding="utf-8"?>
<sst xmlns="http://schemas.openxmlformats.org/spreadsheetml/2006/main" count="82" uniqueCount="75">
  <si>
    <t>Юнит-экономика одной GPU-ноды</t>
  </si>
  <si>
    <t>Упрощенная и обезличенная версия для учебного кейса: без реальных названий оборудования и без помесячной модели.</t>
  </si>
  <si>
    <t>Капитальные затраты</t>
  </si>
  <si>
    <t>Графические ускорители</t>
  </si>
  <si>
    <t>Серверная платформа</t>
  </si>
  <si>
    <t>Оперативная память</t>
  </si>
  <si>
    <t>Процессор</t>
  </si>
  <si>
    <t>Сеть и накопители</t>
  </si>
  <si>
    <t>Итого стоимость ноды</t>
  </si>
  <si>
    <t>Юнит-экономика</t>
  </si>
  <si>
    <t>100% мощности, выручка в месяц</t>
  </si>
  <si>
    <t>Средняя загрузка, год 1</t>
  </si>
  <si>
    <t>Средняя выручка в месяц</t>
  </si>
  <si>
    <t>Аренда стойки / ДЦ в месяц</t>
  </si>
  <si>
    <t>Комиссия площадки / платежей</t>
  </si>
  <si>
    <t>Средний ремонт в месяц</t>
  </si>
  <si>
    <t>Средний EBITDA в месяц</t>
  </si>
  <si>
    <t>Амортизация в месяц</t>
  </si>
  <si>
    <t>Средняя чистая прибыль в месяц</t>
  </si>
  <si>
    <t>Средний операционный ДДС в месяц</t>
  </si>
  <si>
    <t>Остаточная стоимость через 3 года</t>
  </si>
  <si>
    <t>Год 1: короткая сводка</t>
  </si>
  <si>
    <t>Выручка</t>
  </si>
  <si>
    <t>EBITDA</t>
  </si>
  <si>
    <t>Чистая прибыль</t>
  </si>
  <si>
    <t>Операционный ДДС</t>
  </si>
  <si>
    <t>Book value оборудования на конец года</t>
  </si>
  <si>
    <t>Янв 2027</t>
  </si>
  <si>
    <t>Фев 2027</t>
  </si>
  <si>
    <t>Мар 2027</t>
  </si>
  <si>
    <t>Апр 2027</t>
  </si>
  <si>
    <t>Май 2027</t>
  </si>
  <si>
    <t>Июн 2027</t>
  </si>
  <si>
    <t>Июл 2027</t>
  </si>
  <si>
    <t>Авг 2027</t>
  </si>
  <si>
    <t>Сен 2027</t>
  </si>
  <si>
    <t>Окт 2027</t>
  </si>
  <si>
    <t>Ноя 2027</t>
  </si>
  <si>
    <t>Дек 2027</t>
  </si>
  <si>
    <t>Баланс</t>
  </si>
  <si>
    <t>Активы</t>
  </si>
  <si>
    <t>Денежные средства</t>
  </si>
  <si>
    <t>Оборудование, первоначальная стоимость</t>
  </si>
  <si>
    <t>Накопленная амортизация</t>
  </si>
  <si>
    <t>Остаточная стоимость оборудования</t>
  </si>
  <si>
    <t>Обязательства</t>
  </si>
  <si>
    <t>Налог к уплате</t>
  </si>
  <si>
    <t>Капитал</t>
  </si>
  <si>
    <t>Вклад собственника</t>
  </si>
  <si>
    <t>Нераспределенная прибыль</t>
  </si>
  <si>
    <t>Капитал + Обязательства</t>
  </si>
  <si>
    <t>Проверка баланса</t>
  </si>
  <si>
    <t>Прибыль и убытки</t>
  </si>
  <si>
    <t>Доходы</t>
  </si>
  <si>
    <t>Аренда вычислительной мощности</t>
  </si>
  <si>
    <t>Расходы</t>
  </si>
  <si>
    <t>Аренда стойки / ДЦ</t>
  </si>
  <si>
    <t>Ремонт и обслуживание</t>
  </si>
  <si>
    <t>Амортизация оборудования</t>
  </si>
  <si>
    <t>Налог на прибыль</t>
  </si>
  <si>
    <t>Прибыль</t>
  </si>
  <si>
    <t>Движение ДС</t>
  </si>
  <si>
    <t>Опер. ден. поток</t>
  </si>
  <si>
    <t>Поступления от аренды</t>
  </si>
  <si>
    <t>Операционные платежи</t>
  </si>
  <si>
    <t>Налог, уплаченный с лагом</t>
  </si>
  <si>
    <t>Инвест. ден. поток</t>
  </si>
  <si>
    <t>Закупка оборудования</t>
  </si>
  <si>
    <t>Фин. ден. поток</t>
  </si>
  <si>
    <t>Итоговый ден. поток</t>
  </si>
  <si>
    <t>Денежные средства на конец периода</t>
  </si>
  <si>
    <t>Примечания</t>
  </si>
  <si>
    <t>В модели намеренно искажены суммы и скрыты реальные названия оборудования.</t>
  </si>
  <si>
    <t>P&amp;L отличается от ДДС: амортизация есть в P&amp;L, но не является денежным оттоком; capex есть в ДДС, но не в P&amp;L.</t>
  </si>
  <si>
    <t>Некоторые месяцы оборудование простаивает или загружено частично — это отражено через разную выручку по месяцам.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</si>
</sst>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₽]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</font>
    <font>
      <i/>
      <sz val="9"/>
      <color rgb="FF666666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zoomScale="131" workbookViewId="0">
      <selection activeCell="F7" sqref="F7"/>
    </sheetView>
  </sheetViews>
  <sheetFormatPr baseColWidth="10" defaultColWidth="8.83203125" defaultRowHeight="15" x14ac:dyDescent="0.2"/>
  <cols>
    <col min="1" max="1" width="3" customWidth="1"/>
    <col min="2" max="2" width="4.83203125" customWidth="1"/>
    <col min="3" max="3" width="38" customWidth="1"/>
    <col min="4" max="4" width="16" customWidth="1"/>
    <col min="5" max="15" width="12" customWidth="1"/>
  </cols>
  <sheetData>
    <row r="1" spans="1:4" ht="18" customHeight="1" x14ac:dyDescent="0.2">
      <c r="A1" s="12"/>
      <c r="B1" s="13" t="s">
        <v>0</v>
      </c>
      <c r="C1" s="12"/>
      <c r="D1" s="12"/>
    </row>
    <row r="2" spans="1:4" ht="18" customHeight="1" x14ac:dyDescent="0.2">
      <c r="A2" s="12"/>
      <c r="B2" s="14" t="s">
        <v>1</v>
      </c>
      <c r="C2" s="12"/>
      <c r="D2" s="12"/>
    </row>
    <row r="3" spans="1:4" ht="18" customHeight="1" x14ac:dyDescent="0.2">
      <c r="A3" s="1"/>
      <c r="B3" s="1"/>
      <c r="C3" s="1"/>
      <c r="D3" s="1"/>
    </row>
    <row r="4" spans="1:4" ht="18" customHeight="1" x14ac:dyDescent="0.2">
      <c r="A4" s="12"/>
      <c r="B4" s="13" t="s">
        <v>2</v>
      </c>
      <c r="C4" s="12"/>
      <c r="D4" s="12"/>
    </row>
    <row r="5" spans="1:4" ht="18" customHeight="1" x14ac:dyDescent="0.2">
      <c r="A5" s="1"/>
      <c r="B5" s="1"/>
      <c r="C5" s="4" t="s">
        <v>3</v>
      </c>
      <c r="D5" s="5">
        <v>7240000</v>
      </c>
    </row>
    <row r="6" spans="1:4" ht="18" customHeight="1" x14ac:dyDescent="0.2">
      <c r="A6" s="1"/>
      <c r="B6" s="1"/>
      <c r="C6" s="4" t="s">
        <v>4</v>
      </c>
      <c r="D6" s="5">
        <v>930000</v>
      </c>
    </row>
    <row r="7" spans="1:4" ht="18" customHeight="1" x14ac:dyDescent="0.2">
      <c r="A7" s="1"/>
      <c r="B7" s="1"/>
      <c r="C7" s="4" t="s">
        <v>5</v>
      </c>
      <c r="D7" s="5">
        <v>410000</v>
      </c>
    </row>
    <row r="8" spans="1:4" ht="18" customHeight="1" x14ac:dyDescent="0.2">
      <c r="A8" s="1"/>
      <c r="B8" s="1"/>
      <c r="C8" s="4" t="s">
        <v>6</v>
      </c>
      <c r="D8" s="5">
        <v>120000</v>
      </c>
    </row>
    <row r="9" spans="1:4" ht="18" customHeight="1" x14ac:dyDescent="0.2">
      <c r="A9" s="1"/>
      <c r="B9" s="1"/>
      <c r="C9" s="4" t="s">
        <v>7</v>
      </c>
      <c r="D9" s="5">
        <v>150000</v>
      </c>
    </row>
    <row r="10" spans="1:4" ht="18" customHeight="1" x14ac:dyDescent="0.2">
      <c r="A10" s="1"/>
      <c r="B10" s="1"/>
      <c r="C10" s="6" t="s">
        <v>8</v>
      </c>
      <c r="D10" s="7">
        <f>SUM(D5:D9)</f>
        <v>8850000</v>
      </c>
    </row>
    <row r="11" spans="1:4" ht="18" customHeight="1" x14ac:dyDescent="0.2">
      <c r="A11" s="1"/>
      <c r="B11" s="1"/>
      <c r="C11" s="1"/>
      <c r="D11" s="1"/>
    </row>
    <row r="12" spans="1:4" ht="18" customHeight="1" x14ac:dyDescent="0.2">
      <c r="A12" s="12"/>
      <c r="B12" s="13" t="s">
        <v>9</v>
      </c>
      <c r="C12" s="12"/>
      <c r="D12" s="12"/>
    </row>
    <row r="13" spans="1:4" ht="18" customHeight="1" x14ac:dyDescent="0.2">
      <c r="A13" s="1"/>
      <c r="B13" s="1"/>
      <c r="C13" s="4" t="s">
        <v>10</v>
      </c>
      <c r="D13" s="5">
        <v>1180000</v>
      </c>
    </row>
    <row r="14" spans="1:4" ht="18" customHeight="1" x14ac:dyDescent="0.2">
      <c r="A14" s="1"/>
      <c r="B14" s="1"/>
      <c r="C14" s="4" t="s">
        <v>11</v>
      </c>
      <c r="D14" s="8">
        <f>AVERAGE(fin.model!D24:O24)/D13</f>
        <v>0.51583333333333337</v>
      </c>
    </row>
    <row r="15" spans="1:4" ht="18" customHeight="1" x14ac:dyDescent="0.2">
      <c r="A15" s="1"/>
      <c r="B15" s="1"/>
      <c r="C15" s="4" t="s">
        <v>12</v>
      </c>
      <c r="D15" s="5">
        <f>ROUND(D13*D14,0)</f>
        <v>608683</v>
      </c>
    </row>
    <row r="16" spans="1:4" ht="18" customHeight="1" x14ac:dyDescent="0.2">
      <c r="A16" s="1"/>
      <c r="B16" s="1"/>
      <c r="C16" s="4" t="s">
        <v>13</v>
      </c>
      <c r="D16" s="5">
        <v>200000</v>
      </c>
    </row>
    <row r="17" spans="1:4" ht="18" customHeight="1" x14ac:dyDescent="0.2">
      <c r="A17" s="1"/>
      <c r="B17" s="1"/>
      <c r="C17" s="4" t="s">
        <v>14</v>
      </c>
      <c r="D17" s="8">
        <v>0.05</v>
      </c>
    </row>
    <row r="18" spans="1:4" ht="18" customHeight="1" x14ac:dyDescent="0.2">
      <c r="A18" s="1"/>
      <c r="B18" s="1"/>
      <c r="C18" s="4" t="s">
        <v>15</v>
      </c>
      <c r="D18" s="5">
        <f>ROUND(-AVERAGE(fin.model!D28:O28),0)</f>
        <v>30833</v>
      </c>
    </row>
    <row r="19" spans="1:4" ht="18" customHeight="1" x14ac:dyDescent="0.2">
      <c r="A19" s="1"/>
      <c r="B19" s="1"/>
      <c r="C19" s="4" t="s">
        <v>16</v>
      </c>
      <c r="D19" s="5">
        <f>ROUND(D15-D16-D15*D17-D18,0)</f>
        <v>347416</v>
      </c>
    </row>
    <row r="20" spans="1:4" ht="18" customHeight="1" x14ac:dyDescent="0.2">
      <c r="A20" s="1"/>
      <c r="B20" s="1"/>
      <c r="C20" s="4" t="s">
        <v>17</v>
      </c>
      <c r="D20" s="5">
        <f>ROUND(D10/72,0)</f>
        <v>122917</v>
      </c>
    </row>
    <row r="21" spans="1:4" ht="18" customHeight="1" x14ac:dyDescent="0.2">
      <c r="A21" s="1"/>
      <c r="B21" s="1"/>
      <c r="C21" s="4" t="s">
        <v>18</v>
      </c>
      <c r="D21" s="5">
        <f>ROUND(AVERAGE(fin.model!D31:O31),0)</f>
        <v>188318</v>
      </c>
    </row>
    <row r="22" spans="1:4" ht="18" customHeight="1" x14ac:dyDescent="0.2">
      <c r="A22" s="1"/>
      <c r="B22" s="1"/>
      <c r="C22" s="4" t="s">
        <v>19</v>
      </c>
      <c r="D22" s="5">
        <f>ROUND(AVERAGE(fin.model!D35:O35),0)</f>
        <v>313201</v>
      </c>
    </row>
    <row r="23" spans="1:4" ht="18" customHeight="1" x14ac:dyDescent="0.2">
      <c r="A23" s="1"/>
      <c r="B23" s="1"/>
      <c r="C23" s="4" t="s">
        <v>20</v>
      </c>
      <c r="D23" s="5">
        <f>D10*50%</f>
        <v>4425000</v>
      </c>
    </row>
    <row r="24" spans="1:4" ht="18" customHeight="1" x14ac:dyDescent="0.2">
      <c r="A24" s="1"/>
      <c r="B24" s="1"/>
      <c r="C24" s="1"/>
      <c r="D24" s="1"/>
    </row>
    <row r="25" spans="1:4" ht="18" customHeight="1" x14ac:dyDescent="0.2">
      <c r="A25" s="1"/>
      <c r="B25" s="1"/>
      <c r="C25" s="1"/>
      <c r="D25" s="1"/>
    </row>
    <row r="26" spans="1:4" ht="18" customHeight="1" x14ac:dyDescent="0.2">
      <c r="A26" s="12"/>
      <c r="B26" s="13" t="s">
        <v>21</v>
      </c>
      <c r="C26" s="12"/>
      <c r="D26" s="12"/>
    </row>
    <row r="27" spans="1:4" ht="18" customHeight="1" x14ac:dyDescent="0.2">
      <c r="A27" s="1"/>
      <c r="B27" s="1"/>
      <c r="C27" s="4" t="s">
        <v>22</v>
      </c>
      <c r="D27" s="5">
        <f>SUM(fin.model!D24:O24)</f>
        <v>7304200</v>
      </c>
    </row>
    <row r="28" spans="1:4" ht="18" customHeight="1" x14ac:dyDescent="0.2">
      <c r="A28" s="1"/>
      <c r="B28" s="1"/>
      <c r="C28" s="4" t="s">
        <v>23</v>
      </c>
      <c r="D28" s="5">
        <f>SUM(fin.model!D23:O23)+SUM(fin.model!D26:O28)</f>
        <v>4168990</v>
      </c>
    </row>
    <row r="29" spans="1:4" ht="18" customHeight="1" x14ac:dyDescent="0.2">
      <c r="A29" s="1"/>
      <c r="B29" s="1"/>
      <c r="C29" s="4" t="s">
        <v>24</v>
      </c>
      <c r="D29" s="5">
        <f>SUM(fin.model!D31:O31)</f>
        <v>2259810</v>
      </c>
    </row>
    <row r="30" spans="1:4" ht="18" customHeight="1" x14ac:dyDescent="0.2">
      <c r="A30" s="1"/>
      <c r="B30" s="1"/>
      <c r="C30" s="4" t="s">
        <v>25</v>
      </c>
      <c r="D30" s="5">
        <f>SUM(fin.model!D35:O35)</f>
        <v>3758413</v>
      </c>
    </row>
    <row r="31" spans="1:4" ht="18" customHeight="1" x14ac:dyDescent="0.2">
      <c r="A31" s="1"/>
      <c r="B31" s="1"/>
      <c r="C31" s="4" t="s">
        <v>26</v>
      </c>
      <c r="D31" s="5">
        <f>fin.model!O12</f>
        <v>7374996</v>
      </c>
    </row>
    <row r="32" spans="1: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workbookViewId="0">
      <selection activeCell="E21" sqref="E21"/>
    </sheetView>
  </sheetViews>
  <sheetFormatPr baseColWidth="10" defaultColWidth="8.83203125" defaultRowHeight="15" x14ac:dyDescent="0.2"/>
  <cols>
    <col min="1" max="1" width="3" customWidth="1"/>
    <col min="2" max="2" width="4.33203125" customWidth="1"/>
    <col min="3" max="3" width="28" customWidth="1"/>
    <col min="4" max="15" width="12" customWidth="1"/>
  </cols>
  <sheetData>
    <row r="1" spans="1:15" ht="18" customHeight="1" x14ac:dyDescent="0.2">
      <c r="A1" s="1"/>
      <c r="B1" s="1"/>
      <c r="C1" s="1"/>
      <c r="D1" s="9" t="s">
        <v>27</v>
      </c>
      <c r="E1" s="9" t="s">
        <v>28</v>
      </c>
      <c r="F1" s="9" t="s">
        <v>29</v>
      </c>
      <c r="G1" s="9" t="s">
        <v>30</v>
      </c>
      <c r="H1" s="9" t="s">
        <v>31</v>
      </c>
      <c r="I1" s="9" t="s">
        <v>32</v>
      </c>
      <c r="J1" s="9" t="s">
        <v>33</v>
      </c>
      <c r="K1" s="9" t="s">
        <v>34</v>
      </c>
      <c r="L1" s="9" t="s">
        <v>35</v>
      </c>
      <c r="M1" s="9" t="s">
        <v>36</v>
      </c>
      <c r="N1" s="9" t="s">
        <v>37</v>
      </c>
      <c r="O1" s="9" t="s">
        <v>38</v>
      </c>
    </row>
    <row r="2" spans="1:15" ht="18" customHeight="1" x14ac:dyDescent="0.2">
      <c r="A2" s="13" t="s">
        <v>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8" customHeight="1" x14ac:dyDescent="0.2">
      <c r="A3" s="12"/>
      <c r="B3" s="15" t="s">
        <v>40</v>
      </c>
      <c r="C3" s="12"/>
      <c r="D3" s="16">
        <f t="shared" ref="D3:O3" si="0">SUM(D4,D12)</f>
        <v>9027083</v>
      </c>
      <c r="E3" s="16">
        <f t="shared" si="0"/>
        <v>9264666</v>
      </c>
      <c r="F3" s="16">
        <f t="shared" si="0"/>
        <v>9605723</v>
      </c>
      <c r="G3" s="16">
        <f t="shared" si="0"/>
        <v>10041573</v>
      </c>
      <c r="H3" s="16">
        <f t="shared" si="0"/>
        <v>10009110</v>
      </c>
      <c r="I3" s="16">
        <f t="shared" si="0"/>
        <v>9682230</v>
      </c>
      <c r="J3" s="16">
        <f t="shared" si="0"/>
        <v>10312163</v>
      </c>
      <c r="K3" s="16">
        <f t="shared" si="0"/>
        <v>10487215</v>
      </c>
      <c r="L3" s="16">
        <f t="shared" si="0"/>
        <v>10747445</v>
      </c>
      <c r="M3" s="16">
        <f t="shared" si="0"/>
        <v>11260736</v>
      </c>
      <c r="N3" s="16">
        <f t="shared" si="0"/>
        <v>11491149</v>
      </c>
      <c r="O3" s="16">
        <f t="shared" si="0"/>
        <v>11633409</v>
      </c>
    </row>
    <row r="4" spans="1:15" ht="18" customHeight="1" x14ac:dyDescent="0.2">
      <c r="A4" s="1"/>
      <c r="B4" s="1"/>
      <c r="C4" s="4" t="s">
        <v>41</v>
      </c>
      <c r="D4" s="10">
        <f t="shared" ref="D4:O4" si="1">D44</f>
        <v>300000</v>
      </c>
      <c r="E4" s="10">
        <f t="shared" si="1"/>
        <v>660500</v>
      </c>
      <c r="F4" s="10">
        <f t="shared" si="1"/>
        <v>1124474</v>
      </c>
      <c r="G4" s="10">
        <f t="shared" si="1"/>
        <v>1683241</v>
      </c>
      <c r="H4" s="10">
        <f t="shared" si="1"/>
        <v>1773695</v>
      </c>
      <c r="I4" s="10">
        <f t="shared" si="1"/>
        <v>1569732</v>
      </c>
      <c r="J4" s="10">
        <f t="shared" si="1"/>
        <v>2322582</v>
      </c>
      <c r="K4" s="10">
        <f t="shared" si="1"/>
        <v>2620551</v>
      </c>
      <c r="L4" s="10">
        <f t="shared" si="1"/>
        <v>3003698</v>
      </c>
      <c r="M4" s="10">
        <f t="shared" si="1"/>
        <v>3639906</v>
      </c>
      <c r="N4" s="10">
        <f t="shared" si="1"/>
        <v>3993236</v>
      </c>
      <c r="O4" s="10">
        <f t="shared" si="1"/>
        <v>4258413</v>
      </c>
    </row>
    <row r="5" spans="1:15" ht="18" customHeight="1" x14ac:dyDescent="0.2">
      <c r="A5" s="1"/>
      <c r="B5" s="1"/>
      <c r="C5" s="4" t="s">
        <v>42</v>
      </c>
      <c r="D5" s="10">
        <f t="shared" ref="D5:O5" si="2">SUM(D6:D10)</f>
        <v>8850000</v>
      </c>
      <c r="E5" s="10">
        <f t="shared" si="2"/>
        <v>8850000</v>
      </c>
      <c r="F5" s="10">
        <f t="shared" si="2"/>
        <v>8850000</v>
      </c>
      <c r="G5" s="10">
        <f t="shared" si="2"/>
        <v>8850000</v>
      </c>
      <c r="H5" s="10">
        <f t="shared" si="2"/>
        <v>8850000</v>
      </c>
      <c r="I5" s="10">
        <f t="shared" si="2"/>
        <v>8850000</v>
      </c>
      <c r="J5" s="10">
        <f t="shared" si="2"/>
        <v>8850000</v>
      </c>
      <c r="K5" s="10">
        <f t="shared" si="2"/>
        <v>8850000</v>
      </c>
      <c r="L5" s="10">
        <f t="shared" si="2"/>
        <v>8850000</v>
      </c>
      <c r="M5" s="10">
        <f t="shared" si="2"/>
        <v>8850000</v>
      </c>
      <c r="N5" s="10">
        <f t="shared" si="2"/>
        <v>8850000</v>
      </c>
      <c r="O5" s="10">
        <f t="shared" si="2"/>
        <v>8850000</v>
      </c>
    </row>
    <row r="6" spans="1:15" ht="18" customHeight="1" x14ac:dyDescent="0.2">
      <c r="A6" s="1"/>
      <c r="B6" s="1"/>
      <c r="C6" s="4" t="s">
        <v>3</v>
      </c>
      <c r="D6" s="10">
        <f>UE!$D$5</f>
        <v>7240000</v>
      </c>
      <c r="E6" s="10">
        <f>UE!$D$5</f>
        <v>7240000</v>
      </c>
      <c r="F6" s="10">
        <f>UE!$D$5</f>
        <v>7240000</v>
      </c>
      <c r="G6" s="10">
        <f>UE!$D$5</f>
        <v>7240000</v>
      </c>
      <c r="H6" s="10">
        <f>UE!$D$5</f>
        <v>7240000</v>
      </c>
      <c r="I6" s="10">
        <f>UE!$D$5</f>
        <v>7240000</v>
      </c>
      <c r="J6" s="10">
        <f>UE!$D$5</f>
        <v>7240000</v>
      </c>
      <c r="K6" s="10">
        <f>UE!$D$5</f>
        <v>7240000</v>
      </c>
      <c r="L6" s="10">
        <f>UE!$D$5</f>
        <v>7240000</v>
      </c>
      <c r="M6" s="10">
        <f>UE!$D$5</f>
        <v>7240000</v>
      </c>
      <c r="N6" s="10">
        <f>UE!$D$5</f>
        <v>7240000</v>
      </c>
      <c r="O6" s="10">
        <f>UE!$D$5</f>
        <v>7240000</v>
      </c>
    </row>
    <row r="7" spans="1:15" ht="18" customHeight="1" x14ac:dyDescent="0.2">
      <c r="A7" s="1"/>
      <c r="B7" s="1"/>
      <c r="C7" s="4" t="s">
        <v>4</v>
      </c>
      <c r="D7" s="10">
        <f>UE!$D$6</f>
        <v>930000</v>
      </c>
      <c r="E7" s="10">
        <f>UE!$D$6</f>
        <v>930000</v>
      </c>
      <c r="F7" s="10">
        <f>UE!$D$6</f>
        <v>930000</v>
      </c>
      <c r="G7" s="10">
        <f>UE!$D$6</f>
        <v>930000</v>
      </c>
      <c r="H7" s="10">
        <f>UE!$D$6</f>
        <v>930000</v>
      </c>
      <c r="I7" s="10">
        <f>UE!$D$6</f>
        <v>930000</v>
      </c>
      <c r="J7" s="10">
        <f>UE!$D$6</f>
        <v>930000</v>
      </c>
      <c r="K7" s="10">
        <f>UE!$D$6</f>
        <v>930000</v>
      </c>
      <c r="L7" s="10">
        <f>UE!$D$6</f>
        <v>930000</v>
      </c>
      <c r="M7" s="10">
        <f>UE!$D$6</f>
        <v>930000</v>
      </c>
      <c r="N7" s="10">
        <f>UE!$D$6</f>
        <v>930000</v>
      </c>
      <c r="O7" s="10">
        <f>UE!$D$6</f>
        <v>930000</v>
      </c>
    </row>
    <row r="8" spans="1:15" ht="18" customHeight="1" x14ac:dyDescent="0.2">
      <c r="A8" s="1"/>
      <c r="B8" s="1"/>
      <c r="C8" s="4" t="s">
        <v>5</v>
      </c>
      <c r="D8" s="10">
        <f>UE!$D$7</f>
        <v>410000</v>
      </c>
      <c r="E8" s="10">
        <f>UE!$D$7</f>
        <v>410000</v>
      </c>
      <c r="F8" s="10">
        <f>UE!$D$7</f>
        <v>410000</v>
      </c>
      <c r="G8" s="10">
        <f>UE!$D$7</f>
        <v>410000</v>
      </c>
      <c r="H8" s="10">
        <f>UE!$D$7</f>
        <v>410000</v>
      </c>
      <c r="I8" s="10">
        <f>UE!$D$7</f>
        <v>410000</v>
      </c>
      <c r="J8" s="10">
        <f>UE!$D$7</f>
        <v>410000</v>
      </c>
      <c r="K8" s="10">
        <f>UE!$D$7</f>
        <v>410000</v>
      </c>
      <c r="L8" s="10">
        <f>UE!$D$7</f>
        <v>410000</v>
      </c>
      <c r="M8" s="10">
        <f>UE!$D$7</f>
        <v>410000</v>
      </c>
      <c r="N8" s="10">
        <f>UE!$D$7</f>
        <v>410000</v>
      </c>
      <c r="O8" s="10">
        <f>UE!$D$7</f>
        <v>410000</v>
      </c>
    </row>
    <row r="9" spans="1:15" ht="18" customHeight="1" x14ac:dyDescent="0.2">
      <c r="A9" s="1"/>
      <c r="B9" s="1"/>
      <c r="C9" s="4" t="s">
        <v>6</v>
      </c>
      <c r="D9" s="10">
        <f>UE!$D$8</f>
        <v>120000</v>
      </c>
      <c r="E9" s="10">
        <f>UE!$D$8</f>
        <v>120000</v>
      </c>
      <c r="F9" s="10">
        <f>UE!$D$8</f>
        <v>120000</v>
      </c>
      <c r="G9" s="10">
        <f>UE!$D$8</f>
        <v>120000</v>
      </c>
      <c r="H9" s="10">
        <f>UE!$D$8</f>
        <v>120000</v>
      </c>
      <c r="I9" s="10">
        <f>UE!$D$8</f>
        <v>120000</v>
      </c>
      <c r="J9" s="10">
        <f>UE!$D$8</f>
        <v>120000</v>
      </c>
      <c r="K9" s="10">
        <f>UE!$D$8</f>
        <v>120000</v>
      </c>
      <c r="L9" s="10">
        <f>UE!$D$8</f>
        <v>120000</v>
      </c>
      <c r="M9" s="10">
        <f>UE!$D$8</f>
        <v>120000</v>
      </c>
      <c r="N9" s="10">
        <f>UE!$D$8</f>
        <v>120000</v>
      </c>
      <c r="O9" s="10">
        <f>UE!$D$8</f>
        <v>120000</v>
      </c>
    </row>
    <row r="10" spans="1:15" ht="18" customHeight="1" x14ac:dyDescent="0.2">
      <c r="A10" s="1"/>
      <c r="B10" s="1"/>
      <c r="C10" s="4" t="s">
        <v>7</v>
      </c>
      <c r="D10" s="10">
        <f>UE!$D$9</f>
        <v>150000</v>
      </c>
      <c r="E10" s="10">
        <f>UE!$D$9</f>
        <v>150000</v>
      </c>
      <c r="F10" s="10">
        <f>UE!$D$9</f>
        <v>150000</v>
      </c>
      <c r="G10" s="10">
        <f>UE!$D$9</f>
        <v>150000</v>
      </c>
      <c r="H10" s="10">
        <f>UE!$D$9</f>
        <v>150000</v>
      </c>
      <c r="I10" s="10">
        <f>UE!$D$9</f>
        <v>150000</v>
      </c>
      <c r="J10" s="10">
        <f>UE!$D$9</f>
        <v>150000</v>
      </c>
      <c r="K10" s="10">
        <f>UE!$D$9</f>
        <v>150000</v>
      </c>
      <c r="L10" s="10">
        <f>UE!$D$9</f>
        <v>150000</v>
      </c>
      <c r="M10" s="10">
        <f>UE!$D$9</f>
        <v>150000</v>
      </c>
      <c r="N10" s="10">
        <f>UE!$D$9</f>
        <v>150000</v>
      </c>
      <c r="O10" s="10">
        <f>UE!$D$9</f>
        <v>150000</v>
      </c>
    </row>
    <row r="11" spans="1:15" ht="18" customHeight="1" x14ac:dyDescent="0.2">
      <c r="A11" s="1"/>
      <c r="B11" s="1"/>
      <c r="C11" s="4" t="s">
        <v>43</v>
      </c>
      <c r="D11" s="10">
        <f>SUM($D29:D29)</f>
        <v>-122917</v>
      </c>
      <c r="E11" s="10">
        <f>SUM($D29:E29)</f>
        <v>-245834</v>
      </c>
      <c r="F11" s="10">
        <f>SUM($D29:F29)</f>
        <v>-368751</v>
      </c>
      <c r="G11" s="10">
        <f>SUM($D29:G29)</f>
        <v>-491668</v>
      </c>
      <c r="H11" s="10">
        <f>SUM($D29:H29)</f>
        <v>-614585</v>
      </c>
      <c r="I11" s="10">
        <f>SUM($D29:I29)</f>
        <v>-737502</v>
      </c>
      <c r="J11" s="10">
        <f>SUM($D29:J29)</f>
        <v>-860419</v>
      </c>
      <c r="K11" s="10">
        <f>SUM($D29:K29)</f>
        <v>-983336</v>
      </c>
      <c r="L11" s="10">
        <f>SUM($D29:L29)</f>
        <v>-1106253</v>
      </c>
      <c r="M11" s="10">
        <f>SUM($D29:M29)</f>
        <v>-1229170</v>
      </c>
      <c r="N11" s="10">
        <f>SUM($D29:N29)</f>
        <v>-1352087</v>
      </c>
      <c r="O11" s="10">
        <f>SUM($D29:O29)</f>
        <v>-1475004</v>
      </c>
    </row>
    <row r="12" spans="1:15" ht="18" customHeight="1" x14ac:dyDescent="0.2">
      <c r="A12" s="1"/>
      <c r="B12" s="1"/>
      <c r="C12" s="4" t="s">
        <v>44</v>
      </c>
      <c r="D12" s="10">
        <f t="shared" ref="D12:O12" si="3">SUM(D5,D11)</f>
        <v>8727083</v>
      </c>
      <c r="E12" s="10">
        <f t="shared" si="3"/>
        <v>8604166</v>
      </c>
      <c r="F12" s="10">
        <f t="shared" si="3"/>
        <v>8481249</v>
      </c>
      <c r="G12" s="10">
        <f t="shared" si="3"/>
        <v>8358332</v>
      </c>
      <c r="H12" s="10">
        <f t="shared" si="3"/>
        <v>8235415</v>
      </c>
      <c r="I12" s="10">
        <f t="shared" si="3"/>
        <v>8112498</v>
      </c>
      <c r="J12" s="10">
        <f t="shared" si="3"/>
        <v>7989581</v>
      </c>
      <c r="K12" s="10">
        <f t="shared" si="3"/>
        <v>7866664</v>
      </c>
      <c r="L12" s="10">
        <f t="shared" si="3"/>
        <v>7743747</v>
      </c>
      <c r="M12" s="10">
        <f t="shared" si="3"/>
        <v>7620830</v>
      </c>
      <c r="N12" s="10">
        <f t="shared" si="3"/>
        <v>7497913</v>
      </c>
      <c r="O12" s="10">
        <f t="shared" si="3"/>
        <v>7374996</v>
      </c>
    </row>
    <row r="13" spans="1:15" ht="18" customHeight="1" x14ac:dyDescent="0.2">
      <c r="A13" s="12"/>
      <c r="B13" s="15" t="s">
        <v>45</v>
      </c>
      <c r="C13" s="12"/>
      <c r="D13" s="16">
        <f t="shared" ref="D13:O13" si="4">D14</f>
        <v>0</v>
      </c>
      <c r="E13" s="16">
        <f t="shared" si="4"/>
        <v>30886</v>
      </c>
      <c r="F13" s="16">
        <f t="shared" si="4"/>
        <v>48353</v>
      </c>
      <c r="G13" s="16">
        <f t="shared" si="4"/>
        <v>62946</v>
      </c>
      <c r="H13" s="16">
        <f t="shared" si="4"/>
        <v>3963</v>
      </c>
      <c r="I13" s="16">
        <f t="shared" si="4"/>
        <v>0</v>
      </c>
      <c r="J13" s="16">
        <f t="shared" si="4"/>
        <v>81891</v>
      </c>
      <c r="K13" s="16">
        <f t="shared" si="4"/>
        <v>33403</v>
      </c>
      <c r="L13" s="16">
        <f t="shared" si="4"/>
        <v>38172</v>
      </c>
      <c r="M13" s="16">
        <f t="shared" si="4"/>
        <v>71690</v>
      </c>
      <c r="N13" s="16">
        <f t="shared" si="4"/>
        <v>39273</v>
      </c>
      <c r="O13" s="16">
        <f t="shared" si="4"/>
        <v>23599</v>
      </c>
    </row>
    <row r="14" spans="1:15" ht="18" customHeight="1" x14ac:dyDescent="0.2">
      <c r="A14" s="1"/>
      <c r="B14" s="1"/>
      <c r="C14" s="4" t="s">
        <v>46</v>
      </c>
      <c r="D14" s="10">
        <f t="shared" ref="D14:O14" si="5">-D30</f>
        <v>0</v>
      </c>
      <c r="E14" s="10">
        <f t="shared" si="5"/>
        <v>30886</v>
      </c>
      <c r="F14" s="10">
        <f t="shared" si="5"/>
        <v>48353</v>
      </c>
      <c r="G14" s="10">
        <f t="shared" si="5"/>
        <v>62946</v>
      </c>
      <c r="H14" s="10">
        <f t="shared" si="5"/>
        <v>3963</v>
      </c>
      <c r="I14" s="10">
        <f t="shared" si="5"/>
        <v>0</v>
      </c>
      <c r="J14" s="10">
        <f t="shared" si="5"/>
        <v>81891</v>
      </c>
      <c r="K14" s="10">
        <f t="shared" si="5"/>
        <v>33403</v>
      </c>
      <c r="L14" s="10">
        <f t="shared" si="5"/>
        <v>38172</v>
      </c>
      <c r="M14" s="10">
        <f t="shared" si="5"/>
        <v>71690</v>
      </c>
      <c r="N14" s="10">
        <f t="shared" si="5"/>
        <v>39273</v>
      </c>
      <c r="O14" s="10">
        <f t="shared" si="5"/>
        <v>23599</v>
      </c>
    </row>
    <row r="15" spans="1:15" ht="18" customHeight="1" x14ac:dyDescent="0.2">
      <c r="A15" s="12"/>
      <c r="B15" s="15" t="s">
        <v>47</v>
      </c>
      <c r="C15" s="12"/>
      <c r="D15" s="16">
        <f t="shared" ref="D15:O15" si="6">SUM(D16:D17)</f>
        <v>9027083</v>
      </c>
      <c r="E15" s="16">
        <f t="shared" si="6"/>
        <v>9233780</v>
      </c>
      <c r="F15" s="16">
        <f t="shared" si="6"/>
        <v>9557370</v>
      </c>
      <c r="G15" s="16">
        <f t="shared" si="6"/>
        <v>9978627</v>
      </c>
      <c r="H15" s="16">
        <f t="shared" si="6"/>
        <v>10005147</v>
      </c>
      <c r="I15" s="16">
        <f t="shared" si="6"/>
        <v>9682230</v>
      </c>
      <c r="J15" s="16">
        <f t="shared" si="6"/>
        <v>10230272</v>
      </c>
      <c r="K15" s="16">
        <f t="shared" si="6"/>
        <v>10453812</v>
      </c>
      <c r="L15" s="16">
        <f t="shared" si="6"/>
        <v>10709273</v>
      </c>
      <c r="M15" s="16">
        <f t="shared" si="6"/>
        <v>11189046</v>
      </c>
      <c r="N15" s="16">
        <f t="shared" si="6"/>
        <v>11451876</v>
      </c>
      <c r="O15" s="16">
        <f t="shared" si="6"/>
        <v>11609810</v>
      </c>
    </row>
    <row r="16" spans="1:15" ht="18" customHeight="1" x14ac:dyDescent="0.2">
      <c r="A16" s="1"/>
      <c r="B16" s="1"/>
      <c r="C16" s="4" t="s">
        <v>48</v>
      </c>
      <c r="D16" s="10">
        <f>SUM($D42:D42)</f>
        <v>9350000</v>
      </c>
      <c r="E16" s="10">
        <f>SUM($D42:E42)</f>
        <v>9350000</v>
      </c>
      <c r="F16" s="10">
        <f>SUM($D42:F42)</f>
        <v>9350000</v>
      </c>
      <c r="G16" s="10">
        <f>SUM($D42:G42)</f>
        <v>9350000</v>
      </c>
      <c r="H16" s="10">
        <f>SUM($D42:H42)</f>
        <v>9350000</v>
      </c>
      <c r="I16" s="10">
        <f>SUM($D42:I42)</f>
        <v>9350000</v>
      </c>
      <c r="J16" s="10">
        <f>SUM($D42:J42)</f>
        <v>9350000</v>
      </c>
      <c r="K16" s="10">
        <f>SUM($D42:K42)</f>
        <v>9350000</v>
      </c>
      <c r="L16" s="10">
        <f>SUM($D42:L42)</f>
        <v>9350000</v>
      </c>
      <c r="M16" s="10">
        <f>SUM($D42:M42)</f>
        <v>9350000</v>
      </c>
      <c r="N16" s="10">
        <f>SUM($D42:N42)</f>
        <v>9350000</v>
      </c>
      <c r="O16" s="10">
        <f>SUM($D42:O42)</f>
        <v>9350000</v>
      </c>
    </row>
    <row r="17" spans="1:15" ht="18" customHeight="1" x14ac:dyDescent="0.2">
      <c r="A17" s="1"/>
      <c r="B17" s="1"/>
      <c r="C17" s="4" t="s">
        <v>49</v>
      </c>
      <c r="D17" s="10">
        <f>SUM($D31:D31)</f>
        <v>-322917</v>
      </c>
      <c r="E17" s="10">
        <f>SUM($D31:E31)</f>
        <v>-116220</v>
      </c>
      <c r="F17" s="10">
        <f>SUM($D31:F31)</f>
        <v>207370</v>
      </c>
      <c r="G17" s="10">
        <f>SUM($D31:G31)</f>
        <v>628627</v>
      </c>
      <c r="H17" s="10">
        <f>SUM($D31:H31)</f>
        <v>655147</v>
      </c>
      <c r="I17" s="10">
        <f>SUM($D31:I31)</f>
        <v>332230</v>
      </c>
      <c r="J17" s="10">
        <f>SUM($D31:J31)</f>
        <v>880272</v>
      </c>
      <c r="K17" s="10">
        <f>SUM($D31:K31)</f>
        <v>1103812</v>
      </c>
      <c r="L17" s="10">
        <f>SUM($D31:L31)</f>
        <v>1359273</v>
      </c>
      <c r="M17" s="10">
        <f>SUM($D31:M31)</f>
        <v>1839046</v>
      </c>
      <c r="N17" s="10">
        <f>SUM($D31:N31)</f>
        <v>2101876</v>
      </c>
      <c r="O17" s="10">
        <f>SUM($D31:O31)</f>
        <v>2259810</v>
      </c>
    </row>
    <row r="18" spans="1:15" ht="18" customHeight="1" x14ac:dyDescent="0.2">
      <c r="A18" s="12"/>
      <c r="B18" s="15" t="s">
        <v>50</v>
      </c>
      <c r="C18" s="12"/>
      <c r="D18" s="16">
        <f t="shared" ref="D18:O18" si="7">SUM(D13,D15)</f>
        <v>9027083</v>
      </c>
      <c r="E18" s="16">
        <f t="shared" si="7"/>
        <v>9264666</v>
      </c>
      <c r="F18" s="16">
        <f t="shared" si="7"/>
        <v>9605723</v>
      </c>
      <c r="G18" s="16">
        <f t="shared" si="7"/>
        <v>10041573</v>
      </c>
      <c r="H18" s="16">
        <f t="shared" si="7"/>
        <v>10009110</v>
      </c>
      <c r="I18" s="16">
        <f t="shared" si="7"/>
        <v>9682230</v>
      </c>
      <c r="J18" s="16">
        <f t="shared" si="7"/>
        <v>10312163</v>
      </c>
      <c r="K18" s="16">
        <f t="shared" si="7"/>
        <v>10487215</v>
      </c>
      <c r="L18" s="16">
        <f t="shared" si="7"/>
        <v>10747445</v>
      </c>
      <c r="M18" s="16">
        <f t="shared" si="7"/>
        <v>11260736</v>
      </c>
      <c r="N18" s="16">
        <f t="shared" si="7"/>
        <v>11491149</v>
      </c>
      <c r="O18" s="16">
        <f t="shared" si="7"/>
        <v>11633409</v>
      </c>
    </row>
    <row r="19" spans="1:15" ht="18" customHeight="1" x14ac:dyDescent="0.2">
      <c r="A19" s="1"/>
      <c r="B19" s="1"/>
      <c r="C19" s="3" t="s">
        <v>51</v>
      </c>
      <c r="D19" s="11">
        <f>D3-D18</f>
        <v>0</v>
      </c>
      <c r="E19" s="11">
        <f t="shared" ref="D19:O19" si="8">E3-E18</f>
        <v>0</v>
      </c>
      <c r="F19" s="11">
        <f t="shared" si="8"/>
        <v>0</v>
      </c>
      <c r="G19" s="11">
        <f t="shared" si="8"/>
        <v>0</v>
      </c>
      <c r="H19" s="11">
        <f t="shared" si="8"/>
        <v>0</v>
      </c>
      <c r="I19" s="11">
        <f t="shared" si="8"/>
        <v>0</v>
      </c>
      <c r="J19" s="11">
        <f t="shared" si="8"/>
        <v>0</v>
      </c>
      <c r="K19" s="11">
        <f t="shared" si="8"/>
        <v>0</v>
      </c>
      <c r="L19" s="11">
        <f t="shared" si="8"/>
        <v>0</v>
      </c>
      <c r="M19" s="11">
        <f t="shared" si="8"/>
        <v>0</v>
      </c>
      <c r="N19" s="11">
        <f t="shared" si="8"/>
        <v>0</v>
      </c>
      <c r="O19" s="11">
        <f t="shared" si="8"/>
        <v>0</v>
      </c>
    </row>
    <row r="20" spans="1:15" ht="18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8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8" customHeight="1" x14ac:dyDescent="0.2">
      <c r="A22" s="13" t="s">
        <v>52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8" customHeight="1" x14ac:dyDescent="0.2">
      <c r="A23" s="12"/>
      <c r="B23" s="15" t="s">
        <v>53</v>
      </c>
      <c r="C23" s="12"/>
      <c r="D23" s="16">
        <f t="shared" ref="D23:O23" si="9">D24</f>
        <v>0</v>
      </c>
      <c r="E23" s="16">
        <f t="shared" si="9"/>
        <v>590000</v>
      </c>
      <c r="F23" s="16">
        <f t="shared" si="9"/>
        <v>778800</v>
      </c>
      <c r="G23" s="16">
        <f t="shared" si="9"/>
        <v>849600</v>
      </c>
      <c r="H23" s="16">
        <f t="shared" si="9"/>
        <v>472000</v>
      </c>
      <c r="I23" s="16">
        <f t="shared" si="9"/>
        <v>0</v>
      </c>
      <c r="J23" s="16">
        <f t="shared" si="9"/>
        <v>1003000</v>
      </c>
      <c r="K23" s="16">
        <f t="shared" si="9"/>
        <v>778800</v>
      </c>
      <c r="L23" s="16">
        <f t="shared" si="9"/>
        <v>649000</v>
      </c>
      <c r="M23" s="16">
        <f t="shared" si="9"/>
        <v>920400</v>
      </c>
      <c r="N23" s="16">
        <f t="shared" si="9"/>
        <v>731600</v>
      </c>
      <c r="O23" s="16">
        <f t="shared" si="9"/>
        <v>531000</v>
      </c>
    </row>
    <row r="24" spans="1:15" ht="18" customHeight="1" x14ac:dyDescent="0.2">
      <c r="A24" s="1"/>
      <c r="B24" s="1"/>
      <c r="C24" s="4" t="s">
        <v>54</v>
      </c>
      <c r="D24" s="10">
        <v>0</v>
      </c>
      <c r="E24" s="10">
        <v>590000</v>
      </c>
      <c r="F24" s="10">
        <v>778800</v>
      </c>
      <c r="G24" s="10">
        <v>849600</v>
      </c>
      <c r="H24" s="10">
        <v>472000</v>
      </c>
      <c r="I24" s="10">
        <v>0</v>
      </c>
      <c r="J24" s="10">
        <v>1003000</v>
      </c>
      <c r="K24" s="10">
        <v>778800</v>
      </c>
      <c r="L24" s="10">
        <v>649000</v>
      </c>
      <c r="M24" s="10">
        <v>920400</v>
      </c>
      <c r="N24" s="10">
        <v>731600</v>
      </c>
      <c r="O24" s="10">
        <v>531000</v>
      </c>
    </row>
    <row r="25" spans="1:15" ht="18" customHeight="1" x14ac:dyDescent="0.2">
      <c r="A25" s="12"/>
      <c r="B25" s="15" t="s">
        <v>55</v>
      </c>
      <c r="C25" s="12"/>
      <c r="D25" s="16">
        <f t="shared" ref="D25:O25" si="10">SUM(D26:D30)</f>
        <v>-322917</v>
      </c>
      <c r="E25" s="16">
        <f t="shared" si="10"/>
        <v>-383303</v>
      </c>
      <c r="F25" s="16">
        <f t="shared" si="10"/>
        <v>-455210</v>
      </c>
      <c r="G25" s="16">
        <f t="shared" si="10"/>
        <v>-428343</v>
      </c>
      <c r="H25" s="16">
        <f t="shared" si="10"/>
        <v>-445480</v>
      </c>
      <c r="I25" s="16">
        <f t="shared" si="10"/>
        <v>-322917</v>
      </c>
      <c r="J25" s="16">
        <f t="shared" si="10"/>
        <v>-454958</v>
      </c>
      <c r="K25" s="16">
        <f t="shared" si="10"/>
        <v>-555260</v>
      </c>
      <c r="L25" s="16">
        <f t="shared" si="10"/>
        <v>-393539</v>
      </c>
      <c r="M25" s="16">
        <f t="shared" si="10"/>
        <v>-440627</v>
      </c>
      <c r="N25" s="16">
        <f t="shared" si="10"/>
        <v>-468770</v>
      </c>
      <c r="O25" s="16">
        <f t="shared" si="10"/>
        <v>-373066</v>
      </c>
    </row>
    <row r="26" spans="1:15" ht="18" customHeight="1" x14ac:dyDescent="0.2">
      <c r="A26" s="1"/>
      <c r="B26" s="1"/>
      <c r="C26" s="4" t="s">
        <v>14</v>
      </c>
      <c r="D26" s="10">
        <f>-D24*UE!$D$17</f>
        <v>0</v>
      </c>
      <c r="E26" s="10">
        <f>-E24*UE!$D$17</f>
        <v>-29500</v>
      </c>
      <c r="F26" s="10">
        <f>-F24*UE!$D$17</f>
        <v>-38940</v>
      </c>
      <c r="G26" s="10">
        <f>-G24*UE!$D$17</f>
        <v>-42480</v>
      </c>
      <c r="H26" s="10">
        <f>-H24*UE!$D$17</f>
        <v>-23600</v>
      </c>
      <c r="I26" s="10">
        <f>-I24*UE!$D$17</f>
        <v>0</v>
      </c>
      <c r="J26" s="10">
        <f>-J24*UE!$D$17</f>
        <v>-50150</v>
      </c>
      <c r="K26" s="10">
        <f>-K24*UE!$D$17</f>
        <v>-38940</v>
      </c>
      <c r="L26" s="10">
        <f>-L24*UE!$D$17</f>
        <v>-32450</v>
      </c>
      <c r="M26" s="10">
        <f>-M24*UE!$D$17</f>
        <v>-46020</v>
      </c>
      <c r="N26" s="10">
        <f>-N24*UE!$D$17</f>
        <v>-36580</v>
      </c>
      <c r="O26" s="10">
        <f>-O24*UE!$D$17</f>
        <v>-26550</v>
      </c>
    </row>
    <row r="27" spans="1:15" ht="18" customHeight="1" x14ac:dyDescent="0.2">
      <c r="A27" s="1"/>
      <c r="B27" s="1"/>
      <c r="C27" s="4" t="s">
        <v>56</v>
      </c>
      <c r="D27" s="10">
        <f>-UE!$D$16</f>
        <v>-200000</v>
      </c>
      <c r="E27" s="10">
        <f>-UE!$D$16</f>
        <v>-200000</v>
      </c>
      <c r="F27" s="10">
        <f>-UE!$D$16</f>
        <v>-200000</v>
      </c>
      <c r="G27" s="10">
        <f>-UE!$D$16</f>
        <v>-200000</v>
      </c>
      <c r="H27" s="10">
        <f>-UE!$D$16</f>
        <v>-200000</v>
      </c>
      <c r="I27" s="10">
        <f>-UE!$D$16</f>
        <v>-200000</v>
      </c>
      <c r="J27" s="10">
        <f>-UE!$D$16</f>
        <v>-200000</v>
      </c>
      <c r="K27" s="10">
        <f>-UE!$D$16</f>
        <v>-200000</v>
      </c>
      <c r="L27" s="10">
        <f>-UE!$D$16</f>
        <v>-200000</v>
      </c>
      <c r="M27" s="10">
        <f>-UE!$D$16</f>
        <v>-200000</v>
      </c>
      <c r="N27" s="10">
        <f>-UE!$D$16</f>
        <v>-200000</v>
      </c>
      <c r="O27" s="10">
        <f>-UE!$D$16</f>
        <v>-200000</v>
      </c>
    </row>
    <row r="28" spans="1:15" ht="18" customHeight="1" x14ac:dyDescent="0.2">
      <c r="A28" s="1"/>
      <c r="B28" s="1"/>
      <c r="C28" s="4" t="s">
        <v>57</v>
      </c>
      <c r="D28" s="10">
        <v>0</v>
      </c>
      <c r="E28" s="10">
        <v>0</v>
      </c>
      <c r="F28" s="10">
        <v>-45000</v>
      </c>
      <c r="G28" s="10">
        <v>0</v>
      </c>
      <c r="H28" s="10">
        <v>-95000</v>
      </c>
      <c r="I28" s="10">
        <v>0</v>
      </c>
      <c r="J28" s="10">
        <v>0</v>
      </c>
      <c r="K28" s="10">
        <v>-160000</v>
      </c>
      <c r="L28" s="10">
        <v>0</v>
      </c>
      <c r="M28" s="10">
        <v>0</v>
      </c>
      <c r="N28" s="10">
        <v>-70000</v>
      </c>
      <c r="O28" s="10">
        <v>0</v>
      </c>
    </row>
    <row r="29" spans="1:15" ht="18" customHeight="1" x14ac:dyDescent="0.2">
      <c r="A29" s="1"/>
      <c r="B29" s="1"/>
      <c r="C29" s="4" t="s">
        <v>58</v>
      </c>
      <c r="D29" s="10">
        <f>-ROUND(UE!$D$10/72,0)</f>
        <v>-122917</v>
      </c>
      <c r="E29" s="10">
        <f>-ROUND(UE!$D$10/72,0)</f>
        <v>-122917</v>
      </c>
      <c r="F29" s="10">
        <f>-ROUND(UE!$D$10/72,0)</f>
        <v>-122917</v>
      </c>
      <c r="G29" s="10">
        <f>-ROUND(UE!$D$10/72,0)</f>
        <v>-122917</v>
      </c>
      <c r="H29" s="10">
        <f>-ROUND(UE!$D$10/72,0)</f>
        <v>-122917</v>
      </c>
      <c r="I29" s="10">
        <f>-ROUND(UE!$D$10/72,0)</f>
        <v>-122917</v>
      </c>
      <c r="J29" s="10">
        <f>-ROUND(UE!$D$10/72,0)</f>
        <v>-122917</v>
      </c>
      <c r="K29" s="10">
        <f>-ROUND(UE!$D$10/72,0)</f>
        <v>-122917</v>
      </c>
      <c r="L29" s="10">
        <f>-ROUND(UE!$D$10/72,0)</f>
        <v>-122917</v>
      </c>
      <c r="M29" s="10">
        <f>-ROUND(UE!$D$10/72,0)</f>
        <v>-122917</v>
      </c>
      <c r="N29" s="10">
        <f>-ROUND(UE!$D$10/72,0)</f>
        <v>-122917</v>
      </c>
      <c r="O29" s="10">
        <f>-ROUND(UE!$D$10/72,0)</f>
        <v>-122917</v>
      </c>
    </row>
    <row r="30" spans="1:15" ht="18" customHeight="1" x14ac:dyDescent="0.2">
      <c r="A30" s="1"/>
      <c r="B30" s="1"/>
      <c r="C30" s="4" t="s">
        <v>59</v>
      </c>
      <c r="D30" s="10">
        <f t="shared" ref="D30:O30" si="11">-ROUND(MAX(0,D23+SUM(D26:D29))*13%,0)</f>
        <v>0</v>
      </c>
      <c r="E30" s="10">
        <f t="shared" si="11"/>
        <v>-30886</v>
      </c>
      <c r="F30" s="10">
        <f t="shared" si="11"/>
        <v>-48353</v>
      </c>
      <c r="G30" s="10">
        <f t="shared" si="11"/>
        <v>-62946</v>
      </c>
      <c r="H30" s="10">
        <f t="shared" si="11"/>
        <v>-3963</v>
      </c>
      <c r="I30" s="10">
        <f t="shared" si="11"/>
        <v>0</v>
      </c>
      <c r="J30" s="10">
        <f t="shared" si="11"/>
        <v>-81891</v>
      </c>
      <c r="K30" s="10">
        <f t="shared" si="11"/>
        <v>-33403</v>
      </c>
      <c r="L30" s="10">
        <f t="shared" si="11"/>
        <v>-38172</v>
      </c>
      <c r="M30" s="10">
        <f t="shared" si="11"/>
        <v>-71690</v>
      </c>
      <c r="N30" s="10">
        <f t="shared" si="11"/>
        <v>-39273</v>
      </c>
      <c r="O30" s="10">
        <f t="shared" si="11"/>
        <v>-23599</v>
      </c>
    </row>
    <row r="31" spans="1:15" ht="18" customHeight="1" x14ac:dyDescent="0.2">
      <c r="A31" s="12"/>
      <c r="B31" s="15" t="s">
        <v>60</v>
      </c>
      <c r="C31" s="12"/>
      <c r="D31" s="16">
        <f t="shared" ref="D31:O31" si="12">SUM(D23,D25)</f>
        <v>-322917</v>
      </c>
      <c r="E31" s="16">
        <f t="shared" si="12"/>
        <v>206697</v>
      </c>
      <c r="F31" s="16">
        <f t="shared" si="12"/>
        <v>323590</v>
      </c>
      <c r="G31" s="16">
        <f t="shared" si="12"/>
        <v>421257</v>
      </c>
      <c r="H31" s="16">
        <f t="shared" si="12"/>
        <v>26520</v>
      </c>
      <c r="I31" s="16">
        <f t="shared" si="12"/>
        <v>-322917</v>
      </c>
      <c r="J31" s="16">
        <f t="shared" si="12"/>
        <v>548042</v>
      </c>
      <c r="K31" s="16">
        <f t="shared" si="12"/>
        <v>223540</v>
      </c>
      <c r="L31" s="16">
        <f t="shared" si="12"/>
        <v>255461</v>
      </c>
      <c r="M31" s="16">
        <f t="shared" si="12"/>
        <v>479773</v>
      </c>
      <c r="N31" s="16">
        <f t="shared" si="12"/>
        <v>262830</v>
      </c>
      <c r="O31" s="16">
        <f t="shared" si="12"/>
        <v>157934</v>
      </c>
    </row>
    <row r="32" spans="1:15" ht="18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8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8" customHeight="1" x14ac:dyDescent="0.2">
      <c r="A34" s="13" t="s">
        <v>61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18" customHeight="1" x14ac:dyDescent="0.2">
      <c r="A35" s="12"/>
      <c r="B35" s="15" t="s">
        <v>62</v>
      </c>
      <c r="C35" s="12"/>
      <c r="D35" s="16">
        <f t="shared" ref="D35:O35" si="13">SUM(D36:D38)</f>
        <v>-200000</v>
      </c>
      <c r="E35" s="16">
        <f t="shared" si="13"/>
        <v>360500</v>
      </c>
      <c r="F35" s="16">
        <f t="shared" si="13"/>
        <v>463974</v>
      </c>
      <c r="G35" s="16">
        <f t="shared" si="13"/>
        <v>558767</v>
      </c>
      <c r="H35" s="16">
        <f t="shared" si="13"/>
        <v>90454</v>
      </c>
      <c r="I35" s="16">
        <f t="shared" si="13"/>
        <v>-203963</v>
      </c>
      <c r="J35" s="16">
        <f t="shared" si="13"/>
        <v>752850</v>
      </c>
      <c r="K35" s="16">
        <f t="shared" si="13"/>
        <v>297969</v>
      </c>
      <c r="L35" s="16">
        <f t="shared" si="13"/>
        <v>383147</v>
      </c>
      <c r="M35" s="16">
        <f t="shared" si="13"/>
        <v>636208</v>
      </c>
      <c r="N35" s="16">
        <f t="shared" si="13"/>
        <v>353330</v>
      </c>
      <c r="O35" s="16">
        <f t="shared" si="13"/>
        <v>265177</v>
      </c>
    </row>
    <row r="36" spans="1:15" ht="18" customHeight="1" x14ac:dyDescent="0.2">
      <c r="A36" s="1"/>
      <c r="B36" s="1"/>
      <c r="C36" s="4" t="s">
        <v>63</v>
      </c>
      <c r="D36" s="10">
        <f t="shared" ref="D36:O36" si="14">D24</f>
        <v>0</v>
      </c>
      <c r="E36" s="10">
        <f t="shared" si="14"/>
        <v>590000</v>
      </c>
      <c r="F36" s="10">
        <f t="shared" si="14"/>
        <v>778800</v>
      </c>
      <c r="G36" s="10">
        <f t="shared" si="14"/>
        <v>849600</v>
      </c>
      <c r="H36" s="10">
        <f t="shared" si="14"/>
        <v>472000</v>
      </c>
      <c r="I36" s="10">
        <f t="shared" si="14"/>
        <v>0</v>
      </c>
      <c r="J36" s="10">
        <f t="shared" si="14"/>
        <v>1003000</v>
      </c>
      <c r="K36" s="10">
        <f t="shared" si="14"/>
        <v>778800</v>
      </c>
      <c r="L36" s="10">
        <f t="shared" si="14"/>
        <v>649000</v>
      </c>
      <c r="M36" s="10">
        <f t="shared" si="14"/>
        <v>920400</v>
      </c>
      <c r="N36" s="10">
        <f t="shared" si="14"/>
        <v>731600</v>
      </c>
      <c r="O36" s="10">
        <f t="shared" si="14"/>
        <v>531000</v>
      </c>
    </row>
    <row r="37" spans="1:15" ht="18" customHeight="1" x14ac:dyDescent="0.2">
      <c r="A37" s="1"/>
      <c r="B37" s="1"/>
      <c r="C37" s="4" t="s">
        <v>64</v>
      </c>
      <c r="D37" s="10">
        <f t="shared" ref="D37:O37" si="15">SUM(D26:D28)</f>
        <v>-200000</v>
      </c>
      <c r="E37" s="10">
        <f t="shared" si="15"/>
        <v>-229500</v>
      </c>
      <c r="F37" s="10">
        <f t="shared" si="15"/>
        <v>-283940</v>
      </c>
      <c r="G37" s="10">
        <f t="shared" si="15"/>
        <v>-242480</v>
      </c>
      <c r="H37" s="10">
        <f t="shared" si="15"/>
        <v>-318600</v>
      </c>
      <c r="I37" s="10">
        <f t="shared" si="15"/>
        <v>-200000</v>
      </c>
      <c r="J37" s="10">
        <f t="shared" si="15"/>
        <v>-250150</v>
      </c>
      <c r="K37" s="10">
        <f t="shared" si="15"/>
        <v>-398940</v>
      </c>
      <c r="L37" s="10">
        <f t="shared" si="15"/>
        <v>-232450</v>
      </c>
      <c r="M37" s="10">
        <f t="shared" si="15"/>
        <v>-246020</v>
      </c>
      <c r="N37" s="10">
        <f t="shared" si="15"/>
        <v>-306580</v>
      </c>
      <c r="O37" s="10">
        <f t="shared" si="15"/>
        <v>-226550</v>
      </c>
    </row>
    <row r="38" spans="1:15" ht="18" customHeight="1" x14ac:dyDescent="0.2">
      <c r="A38" s="1"/>
      <c r="B38" s="1"/>
      <c r="C38" s="4" t="s">
        <v>65</v>
      </c>
      <c r="D38" s="10">
        <f>0</f>
        <v>0</v>
      </c>
      <c r="E38" s="10">
        <f>0</f>
        <v>0</v>
      </c>
      <c r="F38" s="10">
        <f t="shared" ref="F38:O38" si="16">-E14</f>
        <v>-30886</v>
      </c>
      <c r="G38" s="10">
        <f t="shared" si="16"/>
        <v>-48353</v>
      </c>
      <c r="H38" s="10">
        <f t="shared" si="16"/>
        <v>-62946</v>
      </c>
      <c r="I38" s="10">
        <f t="shared" si="16"/>
        <v>-3963</v>
      </c>
      <c r="J38" s="10">
        <f t="shared" si="16"/>
        <v>0</v>
      </c>
      <c r="K38" s="10">
        <f t="shared" si="16"/>
        <v>-81891</v>
      </c>
      <c r="L38" s="10">
        <f t="shared" si="16"/>
        <v>-33403</v>
      </c>
      <c r="M38" s="10">
        <f t="shared" si="16"/>
        <v>-38172</v>
      </c>
      <c r="N38" s="10">
        <f t="shared" si="16"/>
        <v>-71690</v>
      </c>
      <c r="O38" s="10">
        <f t="shared" si="16"/>
        <v>-39273</v>
      </c>
    </row>
    <row r="39" spans="1:15" ht="18" customHeight="1" x14ac:dyDescent="0.2">
      <c r="A39" s="12"/>
      <c r="B39" s="15" t="s">
        <v>66</v>
      </c>
      <c r="C39" s="12"/>
      <c r="D39" s="16">
        <f t="shared" ref="D39:O39" si="17">D40</f>
        <v>-8850000</v>
      </c>
      <c r="E39" s="16">
        <f t="shared" si="17"/>
        <v>0</v>
      </c>
      <c r="F39" s="16">
        <f t="shared" si="17"/>
        <v>0</v>
      </c>
      <c r="G39" s="16">
        <f t="shared" si="17"/>
        <v>0</v>
      </c>
      <c r="H39" s="16">
        <f t="shared" si="17"/>
        <v>0</v>
      </c>
      <c r="I39" s="16">
        <f t="shared" si="17"/>
        <v>0</v>
      </c>
      <c r="J39" s="16">
        <f t="shared" si="17"/>
        <v>0</v>
      </c>
      <c r="K39" s="16">
        <f t="shared" si="17"/>
        <v>0</v>
      </c>
      <c r="L39" s="16">
        <f t="shared" si="17"/>
        <v>0</v>
      </c>
      <c r="M39" s="16">
        <f t="shared" si="17"/>
        <v>0</v>
      </c>
      <c r="N39" s="16">
        <f t="shared" si="17"/>
        <v>0</v>
      </c>
      <c r="O39" s="16">
        <f t="shared" si="17"/>
        <v>0</v>
      </c>
    </row>
    <row r="40" spans="1:15" ht="18" customHeight="1" x14ac:dyDescent="0.2">
      <c r="A40" s="1"/>
      <c r="B40" s="1"/>
      <c r="C40" s="4" t="s">
        <v>67</v>
      </c>
      <c r="D40" s="10">
        <f>-UE!$D$10</f>
        <v>-8850000</v>
      </c>
      <c r="E40" s="10">
        <f>0</f>
        <v>0</v>
      </c>
      <c r="F40" s="10">
        <f>0</f>
        <v>0</v>
      </c>
      <c r="G40" s="10">
        <f>0</f>
        <v>0</v>
      </c>
      <c r="H40" s="10">
        <f>0</f>
        <v>0</v>
      </c>
      <c r="I40" s="10">
        <f>0</f>
        <v>0</v>
      </c>
      <c r="J40" s="10">
        <f>0</f>
        <v>0</v>
      </c>
      <c r="K40" s="10">
        <f>0</f>
        <v>0</v>
      </c>
      <c r="L40" s="10">
        <f>0</f>
        <v>0</v>
      </c>
      <c r="M40" s="10">
        <f>0</f>
        <v>0</v>
      </c>
      <c r="N40" s="10">
        <f>0</f>
        <v>0</v>
      </c>
      <c r="O40" s="10">
        <f>0</f>
        <v>0</v>
      </c>
    </row>
    <row r="41" spans="1:15" ht="18" customHeight="1" x14ac:dyDescent="0.2">
      <c r="A41" s="12"/>
      <c r="B41" s="15" t="s">
        <v>68</v>
      </c>
      <c r="C41" s="12"/>
      <c r="D41" s="16">
        <f t="shared" ref="D41:O41" si="18">D42</f>
        <v>9350000</v>
      </c>
      <c r="E41" s="16">
        <f t="shared" si="18"/>
        <v>0</v>
      </c>
      <c r="F41" s="16">
        <f t="shared" si="18"/>
        <v>0</v>
      </c>
      <c r="G41" s="16">
        <f t="shared" si="18"/>
        <v>0</v>
      </c>
      <c r="H41" s="16">
        <f t="shared" si="18"/>
        <v>0</v>
      </c>
      <c r="I41" s="16">
        <f t="shared" si="18"/>
        <v>0</v>
      </c>
      <c r="J41" s="16">
        <f t="shared" si="18"/>
        <v>0</v>
      </c>
      <c r="K41" s="16">
        <f t="shared" si="18"/>
        <v>0</v>
      </c>
      <c r="L41" s="16">
        <f t="shared" si="18"/>
        <v>0</v>
      </c>
      <c r="M41" s="16">
        <f t="shared" si="18"/>
        <v>0</v>
      </c>
      <c r="N41" s="16">
        <f t="shared" si="18"/>
        <v>0</v>
      </c>
      <c r="O41" s="16">
        <f t="shared" si="18"/>
        <v>0</v>
      </c>
    </row>
    <row r="42" spans="1:15" ht="18" customHeight="1" x14ac:dyDescent="0.2">
      <c r="A42" s="1"/>
      <c r="B42" s="1"/>
      <c r="C42" s="4" t="s">
        <v>48</v>
      </c>
      <c r="D42" s="10">
        <f>-D40+500000</f>
        <v>9350000</v>
      </c>
      <c r="E42" s="10">
        <f>0</f>
        <v>0</v>
      </c>
      <c r="F42" s="10">
        <f>0</f>
        <v>0</v>
      </c>
      <c r="G42" s="10">
        <f>0</f>
        <v>0</v>
      </c>
      <c r="H42" s="10">
        <f>0</f>
        <v>0</v>
      </c>
      <c r="I42" s="10">
        <f>0</f>
        <v>0</v>
      </c>
      <c r="J42" s="10">
        <f>0</f>
        <v>0</v>
      </c>
      <c r="K42" s="10">
        <f>0</f>
        <v>0</v>
      </c>
      <c r="L42" s="10">
        <f>0</f>
        <v>0</v>
      </c>
      <c r="M42" s="10">
        <f>0</f>
        <v>0</v>
      </c>
      <c r="N42" s="10">
        <f>0</f>
        <v>0</v>
      </c>
      <c r="O42" s="10">
        <f>0</f>
        <v>0</v>
      </c>
    </row>
    <row r="43" spans="1:15" ht="18" customHeight="1" x14ac:dyDescent="0.2">
      <c r="A43" s="12"/>
      <c r="B43" s="15" t="s">
        <v>69</v>
      </c>
      <c r="C43" s="12"/>
      <c r="D43" s="16">
        <f t="shared" ref="D43:O43" si="19">SUM(D35,D39,D41)</f>
        <v>300000</v>
      </c>
      <c r="E43" s="16">
        <f t="shared" si="19"/>
        <v>360500</v>
      </c>
      <c r="F43" s="16">
        <f t="shared" si="19"/>
        <v>463974</v>
      </c>
      <c r="G43" s="16">
        <f t="shared" si="19"/>
        <v>558767</v>
      </c>
      <c r="H43" s="16">
        <f t="shared" si="19"/>
        <v>90454</v>
      </c>
      <c r="I43" s="16">
        <f t="shared" si="19"/>
        <v>-203963</v>
      </c>
      <c r="J43" s="16">
        <f t="shared" si="19"/>
        <v>752850</v>
      </c>
      <c r="K43" s="16">
        <f t="shared" si="19"/>
        <v>297969</v>
      </c>
      <c r="L43" s="16">
        <f t="shared" si="19"/>
        <v>383147</v>
      </c>
      <c r="M43" s="16">
        <f t="shared" si="19"/>
        <v>636208</v>
      </c>
      <c r="N43" s="16">
        <f t="shared" si="19"/>
        <v>353330</v>
      </c>
      <c r="O43" s="16">
        <f t="shared" si="19"/>
        <v>265177</v>
      </c>
    </row>
    <row r="44" spans="1:15" ht="18" customHeight="1" x14ac:dyDescent="0.2">
      <c r="A44" s="12"/>
      <c r="B44" s="15" t="s">
        <v>70</v>
      </c>
      <c r="C44" s="12"/>
      <c r="D44" s="16">
        <f>D43</f>
        <v>300000</v>
      </c>
      <c r="E44" s="16">
        <f t="shared" ref="E44:O44" si="20">D44+E43</f>
        <v>660500</v>
      </c>
      <c r="F44" s="16">
        <f t="shared" si="20"/>
        <v>1124474</v>
      </c>
      <c r="G44" s="16">
        <f t="shared" si="20"/>
        <v>1683241</v>
      </c>
      <c r="H44" s="16">
        <f t="shared" si="20"/>
        <v>1773695</v>
      </c>
      <c r="I44" s="16">
        <f t="shared" si="20"/>
        <v>1569732</v>
      </c>
      <c r="J44" s="16">
        <f t="shared" si="20"/>
        <v>2322582</v>
      </c>
      <c r="K44" s="16">
        <f t="shared" si="20"/>
        <v>2620551</v>
      </c>
      <c r="L44" s="16">
        <f t="shared" si="20"/>
        <v>3003698</v>
      </c>
      <c r="M44" s="16">
        <f t="shared" si="20"/>
        <v>3639906</v>
      </c>
      <c r="N44" s="16">
        <f t="shared" si="20"/>
        <v>3993236</v>
      </c>
      <c r="O44" s="16">
        <f t="shared" si="20"/>
        <v>4258413</v>
      </c>
    </row>
    <row r="45" spans="1:15" ht="18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8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" customHeight="1" x14ac:dyDescent="0.2">
      <c r="A47" s="1"/>
      <c r="B47" s="2" t="s">
        <v>71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" customHeight="1" x14ac:dyDescent="0.2">
      <c r="A48" s="1"/>
      <c r="B48" s="1"/>
      <c r="C48" s="3" t="s">
        <v>72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8" customHeight="1" x14ac:dyDescent="0.2">
      <c r="A49" s="1"/>
      <c r="B49" s="1"/>
      <c r="C49" s="3" t="s">
        <v>73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8" customHeight="1" x14ac:dyDescent="0.2">
      <c r="A50" s="1"/>
      <c r="B50" s="1"/>
      <c r="C50" s="3" t="s">
        <v>74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8" customHeight="1" x14ac:dyDescent="0.2"/>
    <row r="52" spans="1:15" ht="18" customHeight="1" x14ac:dyDescent="0.2"/>
    <row r="53" spans="1:15" ht="18" customHeight="1" x14ac:dyDescent="0.2"/>
    <row r="54" spans="1:15" ht="18" customHeight="1" x14ac:dyDescent="0.2"/>
    <row r="55" spans="1:15" ht="18" customHeight="1" x14ac:dyDescent="0.2"/>
    <row r="56" spans="1:15" ht="18" customHeight="1" x14ac:dyDescent="0.2"/>
    <row r="57" spans="1:15" ht="18" customHeight="1" x14ac:dyDescent="0.2"/>
    <row r="58" spans="1:15" ht="18" customHeight="1" x14ac:dyDescent="0.2"/>
    <row r="59" spans="1:15" ht="18" customHeight="1" x14ac:dyDescent="0.2"/>
    <row r="60" spans="1:15" ht="18" customHeight="1" x14ac:dyDescent="0.2"/>
    <row r="61" spans="1:15" ht="18" customHeight="1" x14ac:dyDescent="0.2"/>
    <row r="62" spans="1:15" ht="18" customHeight="1" x14ac:dyDescent="0.2"/>
    <row r="63" spans="1:15" ht="18" customHeight="1" x14ac:dyDescent="0.2"/>
    <row r="64" spans="1:15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UE</vt:lpstr>
      <vt:lpstr>fin.model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2026-06-20T09:57:44Z</dcterms:created>
  <dcterms:modified xsi:type="dcterms:W3CDTF">2026-06-24T06:01:25Z</dcterms:modified>
</cp:coreProperties>
</file>